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spankie/Dropbox/2014 NEW FOLDER/Tim's Folder/2020/Conversions/Completed/TJS_Master/"/>
    </mc:Choice>
  </mc:AlternateContent>
  <xr:revisionPtr revIDLastSave="0" documentId="13_ncr:1_{073A91BA-28ED-B142-8D03-B459FBFF1696}" xr6:coauthVersionLast="46" xr6:coauthVersionMax="46" xr10:uidLastSave="{00000000-0000-0000-0000-000000000000}"/>
  <bookViews>
    <workbookView xWindow="0" yWindow="500" windowWidth="38400" windowHeight="19100" activeTab="2" xr2:uid="{95B73384-83A5-624F-A146-2954137F85E4}"/>
  </bookViews>
  <sheets>
    <sheet name="Weymouth" sheetId="5" r:id="rId1"/>
    <sheet name="Energy Convertor" sheetId="1" r:id="rId2"/>
    <sheet name="Conversion Factors" sheetId="2" r:id="rId3"/>
    <sheet name="Pipe Diameter" sheetId="6" r:id="rId4"/>
  </sheets>
  <definedNames>
    <definedName name="_xlnm._FilterDatabase" localSheetId="1" hidden="1">'Energy Convertor'!$C$14:$D$16</definedName>
    <definedName name="_xlnm._FilterDatabase" localSheetId="3" hidden="1">'Pipe Diameter'!$C$20:$D$21</definedName>
    <definedName name="_xlnm._FilterDatabase" localSheetId="0" hidden="1">Weymouth!$C$22:$D$23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2" l="1"/>
  <c r="D35" i="2"/>
  <c r="D26" i="2"/>
  <c r="C29" i="6"/>
  <c r="C30" i="6" s="1"/>
  <c r="C31" i="6"/>
  <c r="C32" i="6"/>
  <c r="C33" i="6" s="1"/>
  <c r="C34" i="6"/>
  <c r="C37" i="6" l="1"/>
  <c r="G16" i="6" s="1"/>
  <c r="C36" i="6"/>
  <c r="M35" i="5"/>
  <c r="H35" i="5"/>
  <c r="C39" i="6" l="1"/>
  <c r="F18" i="6" s="1"/>
  <c r="C16" i="6"/>
  <c r="C40" i="6"/>
  <c r="J18" i="6" s="1"/>
  <c r="C40" i="5"/>
  <c r="C49" i="5" l="1"/>
  <c r="C45" i="5"/>
  <c r="H29" i="5"/>
  <c r="C35" i="5"/>
  <c r="C29" i="5"/>
  <c r="C56" i="5" l="1"/>
  <c r="C57" i="5" l="1"/>
  <c r="C55" i="5" s="1"/>
  <c r="E18" i="5" s="1"/>
  <c r="C41" i="2"/>
  <c r="D32" i="2" l="1"/>
  <c r="D33" i="2"/>
  <c r="AK18" i="2"/>
  <c r="AD5" i="2"/>
  <c r="AE5" i="2"/>
  <c r="AF5" i="2"/>
  <c r="AG5" i="2"/>
  <c r="AH5" i="2"/>
  <c r="AK5" i="2"/>
  <c r="AN6" i="2"/>
  <c r="AE7" i="2"/>
  <c r="AF7" i="2"/>
  <c r="AG7" i="2"/>
  <c r="AH7" i="2"/>
  <c r="AK7" i="2"/>
  <c r="AD9" i="2"/>
  <c r="AE9" i="2"/>
  <c r="AF9" i="2"/>
  <c r="AG9" i="2"/>
  <c r="AH9" i="2"/>
  <c r="AK9" i="2"/>
  <c r="AN10" i="2"/>
  <c r="AF11" i="2"/>
  <c r="AH11" i="2"/>
  <c r="AK11" i="2"/>
  <c r="AN11" i="2"/>
  <c r="AN12" i="2" s="1"/>
  <c r="AD13" i="2"/>
  <c r="AE13" i="2"/>
  <c r="AF13" i="2"/>
  <c r="AG13" i="2"/>
  <c r="AH13" i="2"/>
  <c r="AI13" i="2"/>
  <c r="AK13" i="2"/>
  <c r="AD15" i="2"/>
  <c r="AE15" i="2"/>
  <c r="AG15" i="2"/>
  <c r="AH15" i="2"/>
  <c r="C12" i="1"/>
  <c r="H3" i="2"/>
  <c r="C11" i="1"/>
  <c r="C39" i="2" l="1"/>
  <c r="C38" i="2"/>
  <c r="D15" i="2"/>
  <c r="D16" i="2"/>
  <c r="D18" i="2"/>
  <c r="D17" i="2"/>
  <c r="T3" i="2" l="1"/>
  <c r="X3" i="2" s="1"/>
  <c r="I3" i="2"/>
  <c r="Q3" i="2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4" i="2"/>
  <c r="X4" i="2" s="1"/>
  <c r="X5" i="2" s="1"/>
  <c r="D14" i="2" l="1"/>
  <c r="D13" i="2"/>
  <c r="D12" i="2"/>
  <c r="D11" i="2"/>
  <c r="D10" i="2"/>
  <c r="D9" i="2"/>
  <c r="D8" i="2"/>
  <c r="D7" i="2"/>
  <c r="D6" i="2"/>
  <c r="D5" i="2"/>
  <c r="D4" i="2"/>
  <c r="D3" i="2"/>
  <c r="X6" i="2" l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8" i="2" s="1"/>
  <c r="X39" i="2" s="1"/>
  <c r="X40" i="2" a="1"/>
  <c r="X40" i="2" l="1"/>
  <c r="D24" i="2"/>
  <c r="AG18" i="2"/>
  <c r="D22" i="2"/>
  <c r="AH18" i="2"/>
  <c r="AE18" i="2"/>
  <c r="AF18" i="2"/>
  <c r="D25" i="2"/>
  <c r="D23" i="2"/>
  <c r="AD18" i="2"/>
  <c r="D31" i="2"/>
  <c r="J3" i="2"/>
  <c r="L3" i="2" s="1"/>
  <c r="D21" i="2"/>
  <c r="O3" i="2" s="1"/>
  <c r="D29" i="2"/>
  <c r="D28" i="2"/>
  <c r="D19" i="2"/>
  <c r="D30" i="2"/>
  <c r="D20" i="2"/>
  <c r="D27" i="2"/>
  <c r="E32" i="2" l="1"/>
  <c r="F32" i="2" s="1"/>
  <c r="E24" i="2"/>
  <c r="F24" i="2" s="1"/>
  <c r="E33" i="2"/>
  <c r="F33" i="2" s="1"/>
  <c r="E4" i="2"/>
  <c r="F4" i="2" s="1"/>
  <c r="E9" i="2"/>
  <c r="F9" i="2" s="1"/>
  <c r="E29" i="2"/>
  <c r="F29" i="2" s="1"/>
  <c r="E22" i="2"/>
  <c r="F22" i="2" s="1"/>
  <c r="E15" i="2"/>
  <c r="F15" i="2" s="1"/>
  <c r="E14" i="2"/>
  <c r="F14" i="2" s="1"/>
  <c r="E28" i="2"/>
  <c r="F28" i="2" s="1"/>
  <c r="P3" i="2"/>
  <c r="H10" i="1" s="1"/>
  <c r="E26" i="2"/>
  <c r="F26" i="2" s="1"/>
  <c r="E31" i="2"/>
  <c r="F31" i="2" s="1"/>
  <c r="E6" i="2"/>
  <c r="F6" i="2" s="1"/>
  <c r="E7" i="2"/>
  <c r="F7" i="2" s="1"/>
  <c r="E21" i="2"/>
  <c r="F21" i="2" s="1"/>
  <c r="E8" i="2"/>
  <c r="F8" i="2" s="1"/>
  <c r="E5" i="2"/>
  <c r="F5" i="2" s="1"/>
  <c r="E16" i="2"/>
  <c r="F16" i="2" s="1"/>
  <c r="E13" i="2"/>
  <c r="F13" i="2" s="1"/>
  <c r="E11" i="2"/>
  <c r="F11" i="2" s="1"/>
  <c r="E17" i="2"/>
  <c r="F17" i="2" s="1"/>
  <c r="E10" i="2"/>
  <c r="F10" i="2" s="1"/>
  <c r="E25" i="2"/>
  <c r="F25" i="2" s="1"/>
  <c r="E19" i="2"/>
  <c r="F19" i="2" s="1"/>
  <c r="E35" i="2"/>
  <c r="F35" i="2" s="1"/>
  <c r="E30" i="2"/>
  <c r="F30" i="2" s="1"/>
  <c r="E27" i="2"/>
  <c r="F27" i="2" s="1"/>
  <c r="E18" i="2"/>
  <c r="F18" i="2" s="1"/>
  <c r="E20" i="2"/>
  <c r="F20" i="2" s="1"/>
  <c r="E3" i="2"/>
  <c r="F3" i="2" s="1"/>
  <c r="E23" i="2"/>
  <c r="F23" i="2" s="1"/>
  <c r="E12" i="2"/>
  <c r="F12" i="2" s="1"/>
  <c r="E34" i="2"/>
  <c r="F3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<sst xmlns="http://schemas.openxmlformats.org/spreadsheetml/2006/main" count="426" uniqueCount="241">
  <si>
    <t>kilowatt/hours</t>
  </si>
  <si>
    <t>kWh</t>
  </si>
  <si>
    <t>megawatt/hours</t>
  </si>
  <si>
    <t>MWh</t>
  </si>
  <si>
    <t>gigawatt/hours</t>
  </si>
  <si>
    <t>GWh</t>
  </si>
  <si>
    <t>terawatt/hours</t>
  </si>
  <si>
    <t>TWh</t>
  </si>
  <si>
    <t>therms</t>
  </si>
  <si>
    <t>decatherms</t>
  </si>
  <si>
    <t>million therms</t>
  </si>
  <si>
    <t>kilojoule</t>
  </si>
  <si>
    <t>kJ</t>
  </si>
  <si>
    <t>gigajoule</t>
  </si>
  <si>
    <t>GJ</t>
  </si>
  <si>
    <t>petajoule</t>
  </si>
  <si>
    <t>PJ</t>
  </si>
  <si>
    <t>kilocalorie</t>
  </si>
  <si>
    <t>kcal</t>
  </si>
  <si>
    <t>gigacalorie</t>
  </si>
  <si>
    <t>Gcal</t>
  </si>
  <si>
    <t>petacalorie</t>
  </si>
  <si>
    <t>Pcal</t>
  </si>
  <si>
    <r>
      <t>ft</t>
    </r>
    <r>
      <rPr>
        <vertAlign val="superscript"/>
        <sz val="10"/>
        <rFont val="Arial"/>
        <family val="2"/>
      </rPr>
      <t>3</t>
    </r>
  </si>
  <si>
    <r>
      <t>thou.ft</t>
    </r>
    <r>
      <rPr>
        <vertAlign val="superscript"/>
        <sz val="10"/>
        <rFont val="Arial"/>
        <family val="2"/>
      </rPr>
      <t>3</t>
    </r>
  </si>
  <si>
    <r>
      <t>m.ft</t>
    </r>
    <r>
      <rPr>
        <vertAlign val="superscript"/>
        <sz val="10"/>
        <rFont val="Arial"/>
        <family val="2"/>
      </rPr>
      <t>3</t>
    </r>
  </si>
  <si>
    <t>bcf</t>
  </si>
  <si>
    <t>tcf</t>
  </si>
  <si>
    <r>
      <t>m</t>
    </r>
    <r>
      <rPr>
        <vertAlign val="superscript"/>
        <sz val="10"/>
        <rFont val="Arial"/>
        <family val="2"/>
      </rPr>
      <t>3</t>
    </r>
  </si>
  <si>
    <r>
      <t>thou.m</t>
    </r>
    <r>
      <rPr>
        <vertAlign val="superscript"/>
        <sz val="10"/>
        <rFont val="Arial"/>
        <family val="2"/>
      </rPr>
      <t>3</t>
    </r>
  </si>
  <si>
    <t>mcm</t>
  </si>
  <si>
    <t>bcm</t>
  </si>
  <si>
    <t>boe</t>
  </si>
  <si>
    <t>mboe</t>
  </si>
  <si>
    <t>toe</t>
  </si>
  <si>
    <t>mtoe</t>
  </si>
  <si>
    <t>tce</t>
  </si>
  <si>
    <t>mtce</t>
  </si>
  <si>
    <t>joule</t>
  </si>
  <si>
    <t>J</t>
  </si>
  <si>
    <t>megajoule</t>
  </si>
  <si>
    <t>MJ</t>
  </si>
  <si>
    <t>INPUT</t>
  </si>
  <si>
    <t>=</t>
  </si>
  <si>
    <t>OUTPUT</t>
  </si>
  <si>
    <t>÷ CF to get Joules , × by Joules to get Conversion</t>
  </si>
  <si>
    <t>British thermal units</t>
  </si>
  <si>
    <t>t</t>
  </si>
  <si>
    <t>Mt</t>
  </si>
  <si>
    <t>CF</t>
  </si>
  <si>
    <t>Output</t>
  </si>
  <si>
    <t>",</t>
  </si>
  <si>
    <t>,</t>
  </si>
  <si>
    <t>s.f.</t>
  </si>
  <si>
    <t>Value</t>
  </si>
  <si>
    <t>Units</t>
  </si>
  <si>
    <t xml:space="preserve">Value  </t>
  </si>
  <si>
    <t>RAW</t>
  </si>
  <si>
    <t>Base Units (J)</t>
  </si>
  <si>
    <t>cubic meter NG</t>
  </si>
  <si>
    <t>thousand cubic meters  NG</t>
  </si>
  <si>
    <t>million cubic meters NG</t>
  </si>
  <si>
    <t>billion cubic meters NG</t>
  </si>
  <si>
    <t>cubic foot NG</t>
  </si>
  <si>
    <t>thousand cubic feet NG</t>
  </si>
  <si>
    <t>million cubic feet NG</t>
  </si>
  <si>
    <t>billion cubic feet NG</t>
  </si>
  <si>
    <t>trillion cubic feet NG</t>
  </si>
  <si>
    <t>barrel oil equivalent</t>
  </si>
  <si>
    <t>million barrels oil equivalent</t>
  </si>
  <si>
    <t>tonne oil equivalent</t>
  </si>
  <si>
    <t>million tonnes oil equivalent</t>
  </si>
  <si>
    <t>tonne hard coal equivalent</t>
  </si>
  <si>
    <t>million tonnes hard coal equivalent</t>
  </si>
  <si>
    <t>tonne LNG</t>
  </si>
  <si>
    <t>million tonnes LNG</t>
  </si>
  <si>
    <t>Btu</t>
  </si>
  <si>
    <t>th</t>
  </si>
  <si>
    <t>dth</t>
  </si>
  <si>
    <t>Mth</t>
  </si>
  <si>
    <t>ISO (1055.06 J)</t>
  </si>
  <si>
    <t>BP / QP (1055 J)</t>
  </si>
  <si>
    <t>BP (3 d.p.)</t>
  </si>
  <si>
    <t>Conversion factor used to calculate from BTU to a mass or volume of Oil, N2, LNG or Coal</t>
  </si>
  <si>
    <t>BP</t>
  </si>
  <si>
    <t>QP</t>
  </si>
  <si>
    <t>Billion Cubic Metres</t>
  </si>
  <si>
    <t>Million tonnes oil equivalent</t>
  </si>
  <si>
    <t>Million tonnes LNG</t>
  </si>
  <si>
    <t>Million barrels oil</t>
  </si>
  <si>
    <t xml:space="preserve">QP </t>
  </si>
  <si>
    <t>kWh/m³</t>
  </si>
  <si>
    <t>Btu/ft³</t>
  </si>
  <si>
    <t>Calorific Value:</t>
  </si>
  <si>
    <t>BP/QP</t>
  </si>
  <si>
    <t>Terror Table</t>
  </si>
  <si>
    <t>ISO</t>
  </si>
  <si>
    <t>Billion Cubic feet</t>
  </si>
  <si>
    <t>trillion BTU</t>
  </si>
  <si>
    <t>Million tonnes of hard coal</t>
  </si>
  <si>
    <t>1 cubic metre</t>
  </si>
  <si>
    <t>1 billion cubic metre</t>
  </si>
  <si>
    <t>CV</t>
  </si>
  <si>
    <t>1 cubic foot</t>
  </si>
  <si>
    <t>btu</t>
  </si>
  <si>
    <t>1 billion cubic ft</t>
  </si>
  <si>
    <t>Btu definition:</t>
  </si>
  <si>
    <t xml:space="preserve">Definition of Btu used. To match BP/QP conversion factors use 1055 J, for increased accuracy use ISO standard 1055.06 J </t>
  </si>
  <si>
    <t>Volume / Mass CF:</t>
  </si>
  <si>
    <t xml:space="preserve">If custom calorific value wanted 1) Input value 2) select units 3) tick (left click) box          </t>
  </si>
  <si>
    <t>Conversion Factor (1J is)</t>
  </si>
  <si>
    <t>)))))))))))))))))))))))))))))))))</t>
  </si>
  <si>
    <t>Custom Calorie Box</t>
  </si>
  <si>
    <t xml:space="preserve">(kWh/m³ does not use BTU definition for calorific calculations). </t>
  </si>
  <si>
    <t>Energy units convertor</t>
  </si>
  <si>
    <t>Unit</t>
  </si>
  <si>
    <t>Symbol</t>
  </si>
  <si>
    <t>Output from converter</t>
  </si>
  <si>
    <t>(Set for FSU/USA/EU)</t>
  </si>
  <si>
    <t>psia</t>
  </si>
  <si>
    <t xml:space="preserve">E = </t>
  </si>
  <si>
    <t xml:space="preserve">S = </t>
  </si>
  <si>
    <t xml:space="preserve">Z = </t>
  </si>
  <si>
    <t xml:space="preserve">T = </t>
  </si>
  <si>
    <t xml:space="preserve">Lm = </t>
  </si>
  <si>
    <t>mi</t>
  </si>
  <si>
    <t>d =</t>
  </si>
  <si>
    <t xml:space="preserve">Pipe efficiency factor </t>
  </si>
  <si>
    <t>0.98 New internally coated pipe</t>
  </si>
  <si>
    <t>0.92 Average operating conditions (well maintained)</t>
  </si>
  <si>
    <t>0.85 Uncoated / Badly maintained / Old</t>
  </si>
  <si>
    <t>A simple pipe flow calculation for long pipes (no altitude correction)</t>
  </si>
  <si>
    <r>
      <t>Q = 433.49 x (T</t>
    </r>
    <r>
      <rPr>
        <vertAlign val="subscript"/>
        <sz val="36"/>
        <color theme="1"/>
        <rFont val="Calibri"/>
        <family val="2"/>
        <scheme val="minor"/>
      </rPr>
      <t>s</t>
    </r>
    <r>
      <rPr>
        <sz val="36"/>
        <color theme="1"/>
        <rFont val="Calibri"/>
        <family val="2"/>
        <scheme val="minor"/>
      </rPr>
      <t>/P</t>
    </r>
    <r>
      <rPr>
        <vertAlign val="subscript"/>
        <sz val="36"/>
        <color theme="1"/>
        <rFont val="Calibri"/>
        <family val="2"/>
        <scheme val="minor"/>
      </rPr>
      <t>s</t>
    </r>
    <r>
      <rPr>
        <sz val="36"/>
        <color theme="1"/>
        <rFont val="Calibri"/>
        <family val="2"/>
        <scheme val="minor"/>
      </rPr>
      <t>) x E x [(P</t>
    </r>
    <r>
      <rPr>
        <vertAlign val="subscript"/>
        <sz val="36"/>
        <color theme="1"/>
        <rFont val="Calibri"/>
        <family val="2"/>
        <scheme val="minor"/>
      </rPr>
      <t>1</t>
    </r>
    <r>
      <rPr>
        <vertAlign val="superscript"/>
        <sz val="36"/>
        <color theme="1"/>
        <rFont val="Calibri"/>
        <family val="2"/>
        <scheme val="minor"/>
      </rPr>
      <t>2</t>
    </r>
    <r>
      <rPr>
        <sz val="36"/>
        <color theme="1"/>
        <rFont val="Calibri"/>
        <family val="2"/>
        <scheme val="minor"/>
      </rPr>
      <t xml:space="preserve"> - P</t>
    </r>
    <r>
      <rPr>
        <vertAlign val="subscript"/>
        <sz val="36"/>
        <color theme="1"/>
        <rFont val="Calibri"/>
        <family val="2"/>
        <scheme val="minor"/>
      </rPr>
      <t>2</t>
    </r>
    <r>
      <rPr>
        <vertAlign val="superscript"/>
        <sz val="36"/>
        <color theme="1"/>
        <rFont val="Calibri"/>
        <family val="2"/>
        <scheme val="minor"/>
      </rPr>
      <t>2</t>
    </r>
    <r>
      <rPr>
        <sz val="36"/>
        <color theme="1"/>
        <rFont val="Calibri"/>
        <family val="2"/>
        <scheme val="minor"/>
      </rPr>
      <t>) / SZT L</t>
    </r>
    <r>
      <rPr>
        <vertAlign val="subscript"/>
        <sz val="36"/>
        <color theme="1"/>
        <rFont val="Calibri"/>
        <family val="2"/>
        <scheme val="minor"/>
      </rPr>
      <t xml:space="preserve">m </t>
    </r>
    <r>
      <rPr>
        <sz val="36"/>
        <color theme="1"/>
        <rFont val="Calibri"/>
        <family val="2"/>
        <scheme val="minor"/>
      </rPr>
      <t>]</t>
    </r>
    <r>
      <rPr>
        <vertAlign val="superscript"/>
        <sz val="36"/>
        <color theme="1"/>
        <rFont val="Calibri"/>
        <family val="2"/>
        <scheme val="minor"/>
      </rPr>
      <t>0.5</t>
    </r>
    <r>
      <rPr>
        <sz val="36"/>
        <color theme="1"/>
        <rFont val="Calibri"/>
        <family val="2"/>
        <scheme val="minor"/>
      </rPr>
      <t xml:space="preserve">  x d</t>
    </r>
    <r>
      <rPr>
        <vertAlign val="superscript"/>
        <sz val="36"/>
        <color theme="1"/>
        <rFont val="Calibri"/>
        <family val="2"/>
        <scheme val="minor"/>
      </rPr>
      <t>2.667</t>
    </r>
  </si>
  <si>
    <t xml:space="preserve">Q = </t>
  </si>
  <si>
    <t xml:space="preserve">Ts = </t>
  </si>
  <si>
    <t xml:space="preserve">Ps = </t>
  </si>
  <si>
    <t xml:space="preserve">Standard Conditions  </t>
  </si>
  <si>
    <t>Celsius (°C)</t>
  </si>
  <si>
    <t>Fahrenheit (°F)</t>
  </si>
  <si>
    <t>Rankeine (°R)</t>
  </si>
  <si>
    <t>Kelvin (K)</t>
  </si>
  <si>
    <t>Bar (bar)</t>
  </si>
  <si>
    <t>Pascal (Pa)</t>
  </si>
  <si>
    <t>Standard Temperature</t>
  </si>
  <si>
    <t>Temperature</t>
  </si>
  <si>
    <t>Current Temperature</t>
  </si>
  <si>
    <t>Standard Pressure</t>
  </si>
  <si>
    <t>Million Standard Cubic Feet per Day (mscfd)</t>
  </si>
  <si>
    <t>Pipe efficiency factor</t>
  </si>
  <si>
    <t>°R</t>
  </si>
  <si>
    <t>PSI</t>
  </si>
  <si>
    <t>Upstream pressure</t>
  </si>
  <si>
    <t>Downstream Pressure</t>
  </si>
  <si>
    <t>Specific gravity for gas (0.6 to 0.7 range)</t>
  </si>
  <si>
    <t>Pipeline length</t>
  </si>
  <si>
    <t xml:space="preserve">Internal diameter </t>
  </si>
  <si>
    <t>Compressibility (0.94)</t>
  </si>
  <si>
    <t>Standard absolute pressure</t>
  </si>
  <si>
    <t xml:space="preserve">Standard absolute temperature </t>
  </si>
  <si>
    <t>Upstream Pressure</t>
  </si>
  <si>
    <t>Length</t>
  </si>
  <si>
    <t>Inner Diameter</t>
  </si>
  <si>
    <t>millimetre (mm)</t>
  </si>
  <si>
    <t>Inch (")</t>
  </si>
  <si>
    <t>centremetre (cm)</t>
  </si>
  <si>
    <t>metre (m)</t>
  </si>
  <si>
    <t>"</t>
  </si>
  <si>
    <r>
      <t>P</t>
    </r>
    <r>
      <rPr>
        <vertAlign val="sub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 xml:space="preserve"> = </t>
    </r>
  </si>
  <si>
    <r>
      <t>P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 xml:space="preserve"> = </t>
    </r>
  </si>
  <si>
    <t>Pound-force per square inch (psia)</t>
  </si>
  <si>
    <t>Pound-force per square inch absolute (psia)</t>
  </si>
  <si>
    <t>Pound-force per square inch gauge (psig)</t>
  </si>
  <si>
    <t>Gaugue pressure bar (barg)</t>
  </si>
  <si>
    <t xml:space="preserve">Weymouth pipe flow equation						</t>
  </si>
  <si>
    <t>Pipe Diameter Statistics</t>
  </si>
  <si>
    <t>① Pipe Thickness</t>
  </si>
  <si>
    <t>D =</t>
  </si>
  <si>
    <t>l =</t>
  </si>
  <si>
    <t>① Pipe Length</t>
  </si>
  <si>
    <t>① Pipe Diameter</t>
  </si>
  <si>
    <t>② Pipe Diameter</t>
  </si>
  <si>
    <t>② Pipe Thickness</t>
  </si>
  <si>
    <t>② Pipe Length</t>
  </si>
  <si>
    <t>centimetre (cm)</t>
  </si>
  <si>
    <t>①</t>
  </si>
  <si>
    <t>②</t>
  </si>
  <si>
    <t>① Inner Radius</t>
  </si>
  <si>
    <t>① Outer Radius</t>
  </si>
  <si>
    <t>②  Inner Radius</t>
  </si>
  <si>
    <t>②  Outer Radius</t>
  </si>
  <si>
    <t>① Length</t>
  </si>
  <si>
    <t>②  Length</t>
  </si>
  <si>
    <t>Difference ①</t>
  </si>
  <si>
    <t>Difference ②</t>
  </si>
  <si>
    <r>
      <t>Mass of material = π(</t>
    </r>
    <r>
      <rPr>
        <sz val="36"/>
        <color theme="1"/>
        <rFont val="Calibri (Body)"/>
      </rPr>
      <t>r</t>
    </r>
    <r>
      <rPr>
        <vertAlign val="subscript"/>
        <sz val="36"/>
        <color theme="1"/>
        <rFont val="Calibri (Body)"/>
      </rPr>
      <t>outer</t>
    </r>
    <r>
      <rPr>
        <sz val="36"/>
        <color theme="1"/>
        <rFont val="Calibri"/>
        <family val="2"/>
        <scheme val="minor"/>
      </rPr>
      <t>²-r</t>
    </r>
    <r>
      <rPr>
        <vertAlign val="subscript"/>
        <sz val="36"/>
        <color theme="1"/>
        <rFont val="Calibri (Body)"/>
      </rPr>
      <t>inner</t>
    </r>
    <r>
      <rPr>
        <sz val="36"/>
        <color theme="1"/>
        <rFont val="Calibri"/>
        <family val="2"/>
        <scheme val="minor"/>
      </rPr>
      <t>²)l</t>
    </r>
  </si>
  <si>
    <t>Cubic metres (m³)</t>
  </si>
  <si>
    <t>inch (")</t>
  </si>
  <si>
    <t>milimetre (mm)</t>
  </si>
  <si>
    <t>miles (mi)</t>
  </si>
  <si>
    <t>kilometre (Km)</t>
  </si>
  <si>
    <t>mile (mi)</t>
  </si>
  <si>
    <t>Standard cubic feet per day (scfd)</t>
  </si>
  <si>
    <t>Million standard cubic feet per day (mscfd)</t>
  </si>
  <si>
    <t>Pipe①</t>
  </si>
  <si>
    <t>Pipe ②</t>
  </si>
  <si>
    <t>Difference compared to ①</t>
  </si>
  <si>
    <t>Difference compared to ②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</si>
  <si>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</si>
  <si>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</si>
  <si>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</si>
  <si>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</si>
  <si>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</si>
  <si>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</si>
  <si>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</si>
  <si>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</si>
  <si>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</si>
  <si>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</si>
  <si>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</si>
  <si>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</si>
  <si>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</si>
  <si>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</si>
  <si>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</si>
  <si>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</si>
  <si>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</si>
  <si>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</si>
  <si>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</si>
  <si>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</si>
  <si>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</si>
  <si>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</si>
  <si>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</si>
  <si>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</si>
  <si>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</si>
  <si>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</si>
  <si>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</si>
  <si>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</si>
  <si>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</si>
  <si>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</si>
  <si>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</si>
  <si>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</si>
  <si>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</si>
  <si>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IF(Q3="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</si>
</sst>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E+00"/>
    <numFmt numFmtId="166" formatCode="0.00000000E+00"/>
    <numFmt numFmtId="167" formatCode="_-* #,##0.00_-;\-* #,##0.00_-;_-* &quot;-&quot;??_-;_-@_-"/>
    <numFmt numFmtId="168" formatCode="\+##.#%;\-##.#%"/>
  </numFmts>
  <fonts count="22">
    <font>
      <sz val="12"/>
      <color theme="1"/>
      <name val="Calibri"/>
      <family val="2"/>
      <scheme val="minor"/>
    </font>
    <font>
      <vertAlign val="superscript"/>
      <sz val="10"/>
      <name val="Arial"/>
      <family val="2"/>
    </font>
    <font>
      <sz val="1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vertAlign val="subscript"/>
      <sz val="36"/>
      <color theme="1"/>
      <name val="Calibri"/>
      <family val="2"/>
      <scheme val="minor"/>
    </font>
    <font>
      <vertAlign val="superscript"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12"/>
      <color theme="1"/>
      <name val="Calibri (Body)"/>
    </font>
    <font>
      <sz val="11"/>
      <color rgb="FF000000"/>
      <name val="+mn-ea"/>
    </font>
    <font>
      <vertAlign val="subscript"/>
      <sz val="36"/>
      <color theme="1"/>
      <name val="Calibri (Body)"/>
    </font>
    <font>
      <sz val="36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3F4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/>
      <top/>
      <bottom style="hair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hair">
        <color rgb="FFC00000"/>
      </bottom>
      <diagonal/>
    </border>
    <border>
      <left/>
      <right style="medium">
        <color rgb="FFC00000"/>
      </right>
      <top/>
      <bottom style="hair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11" fontId="2" fillId="0" borderId="6" xfId="0" applyNumberFormat="1" applyFont="1" applyBorder="1" applyAlignment="1" applyProtection="1">
      <alignment horizontal="right"/>
    </xf>
    <xf numFmtId="0" fontId="2" fillId="0" borderId="5" xfId="0" applyFont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/>
    <xf numFmtId="0" fontId="2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5" xfId="0" applyFont="1" applyFill="1" applyBorder="1" applyProtection="1"/>
    <xf numFmtId="0" fontId="0" fillId="2" borderId="0" xfId="0" applyFill="1" applyAlignment="1" applyProtection="1">
      <alignment horizontal="right"/>
    </xf>
    <xf numFmtId="0" fontId="0" fillId="2" borderId="0" xfId="0" applyFill="1" applyProtection="1"/>
    <xf numFmtId="11" fontId="0" fillId="2" borderId="0" xfId="0" applyNumberFormat="1" applyFill="1" applyProtection="1"/>
    <xf numFmtId="0" fontId="0" fillId="2" borderId="0" xfId="0" quotePrefix="1" applyFill="1" applyProtection="1"/>
    <xf numFmtId="0" fontId="0" fillId="2" borderId="0" xfId="0" applyFill="1" applyAlignment="1" applyProtection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0" fillId="0" borderId="0" xfId="0" applyBorder="1" applyAlignment="1"/>
    <xf numFmtId="0" fontId="5" fillId="2" borderId="0" xfId="0" applyFont="1" applyFill="1" applyAlignment="1" applyProtection="1"/>
    <xf numFmtId="0" fontId="0" fillId="2" borderId="3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/>
    <xf numFmtId="0" fontId="7" fillId="5" borderId="0" xfId="0" applyFont="1" applyFill="1"/>
    <xf numFmtId="0" fontId="0" fillId="0" borderId="5" xfId="0" applyBorder="1" applyAlignment="1"/>
    <xf numFmtId="0" fontId="0" fillId="2" borderId="0" xfId="0" applyFill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Alignment="1" applyProtection="1"/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/>
    <xf numFmtId="0" fontId="0" fillId="2" borderId="10" xfId="0" applyFill="1" applyBorder="1" applyAlignment="1" applyProtection="1"/>
    <xf numFmtId="0" fontId="0" fillId="2" borderId="0" xfId="0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/>
    <xf numFmtId="0" fontId="2" fillId="0" borderId="10" xfId="0" applyFont="1" applyBorder="1" applyAlignment="1" applyProtection="1"/>
    <xf numFmtId="0" fontId="0" fillId="2" borderId="14" xfId="0" applyFill="1" applyBorder="1" applyAlignment="1" applyProtection="1"/>
    <xf numFmtId="0" fontId="0" fillId="2" borderId="15" xfId="0" applyFill="1" applyBorder="1" applyAlignment="1" applyProtection="1"/>
    <xf numFmtId="11" fontId="0" fillId="2" borderId="15" xfId="0" applyNumberFormat="1" applyFill="1" applyBorder="1" applyAlignment="1" applyProtection="1">
      <alignment horizontal="center"/>
    </xf>
    <xf numFmtId="0" fontId="0" fillId="2" borderId="16" xfId="0" applyFill="1" applyBorder="1" applyAlignment="1" applyProtection="1"/>
    <xf numFmtId="0" fontId="6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Protection="1"/>
    <xf numFmtId="0" fontId="0" fillId="2" borderId="18" xfId="0" applyFill="1" applyBorder="1" applyProtection="1"/>
    <xf numFmtId="11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20" xfId="0" applyFill="1" applyBorder="1" applyProtection="1"/>
    <xf numFmtId="11" fontId="0" fillId="2" borderId="20" xfId="0" applyNumberFormat="1" applyFill="1" applyBorder="1" applyProtection="1"/>
    <xf numFmtId="0" fontId="0" fillId="2" borderId="21" xfId="0" applyFill="1" applyBorder="1" applyAlignment="1" applyProtection="1">
      <alignment horizontal="right"/>
    </xf>
    <xf numFmtId="0" fontId="0" fillId="2" borderId="22" xfId="0" applyFill="1" applyBorder="1" applyProtection="1"/>
    <xf numFmtId="11" fontId="0" fillId="2" borderId="0" xfId="0" applyNumberFormat="1" applyFill="1" applyBorder="1" applyProtection="1"/>
    <xf numFmtId="0" fontId="0" fillId="2" borderId="23" xfId="0" applyFill="1" applyBorder="1" applyAlignment="1" applyProtection="1">
      <alignment horizontal="right"/>
    </xf>
    <xf numFmtId="0" fontId="0" fillId="2" borderId="24" xfId="0" applyFill="1" applyBorder="1" applyProtection="1"/>
    <xf numFmtId="0" fontId="0" fillId="2" borderId="25" xfId="0" applyFill="1" applyBorder="1" applyAlignment="1" applyProtection="1">
      <alignment horizontal="right"/>
    </xf>
    <xf numFmtId="0" fontId="0" fillId="6" borderId="0" xfId="0" applyFill="1" applyBorder="1" applyAlignment="1" applyProtection="1">
      <alignment horizontal="left"/>
      <protection locked="0"/>
    </xf>
    <xf numFmtId="164" fontId="0" fillId="6" borderId="0" xfId="0" applyNumberFormat="1" applyFill="1" applyBorder="1" applyProtection="1"/>
    <xf numFmtId="0" fontId="0" fillId="6" borderId="0" xfId="0" applyFill="1" applyBorder="1" applyProtection="1"/>
    <xf numFmtId="0" fontId="0" fillId="6" borderId="18" xfId="0" applyFill="1" applyBorder="1" applyProtection="1"/>
    <xf numFmtId="0" fontId="7" fillId="6" borderId="0" xfId="0" applyNumberFormat="1" applyFont="1" applyFill="1" applyBorder="1"/>
    <xf numFmtId="0" fontId="0" fillId="6" borderId="20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11" fontId="2" fillId="2" borderId="0" xfId="0" applyNumberFormat="1" applyFont="1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7" borderId="8" xfId="0" applyFill="1" applyBorder="1" applyAlignment="1" applyProtection="1"/>
    <xf numFmtId="0" fontId="0" fillId="7" borderId="1" xfId="0" applyFill="1" applyBorder="1" applyAlignment="1" applyProtection="1"/>
    <xf numFmtId="0" fontId="2" fillId="2" borderId="8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9" xfId="0" applyFill="1" applyBorder="1" applyAlignment="1" applyProtection="1"/>
    <xf numFmtId="0" fontId="2" fillId="2" borderId="5" xfId="0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/>
    <xf numFmtId="0" fontId="4" fillId="2" borderId="0" xfId="0" applyFont="1" applyFill="1" applyBorder="1" applyAlignment="1" applyProtection="1"/>
    <xf numFmtId="0" fontId="0" fillId="7" borderId="8" xfId="0" applyFill="1" applyBorder="1" applyAlignment="1" applyProtection="1">
      <alignment horizontal="left"/>
    </xf>
    <xf numFmtId="0" fontId="0" fillId="7" borderId="1" xfId="0" applyFill="1" applyBorder="1" applyAlignment="1" applyProtection="1">
      <alignment horizontal="left"/>
    </xf>
    <xf numFmtId="0" fontId="0" fillId="6" borderId="8" xfId="0" applyFill="1" applyBorder="1" applyAlignment="1" applyProtection="1">
      <alignment horizontal="right"/>
    </xf>
    <xf numFmtId="0" fontId="0" fillId="6" borderId="0" xfId="0" applyFill="1" applyBorder="1" applyAlignment="1" applyProtection="1"/>
    <xf numFmtId="0" fontId="0" fillId="6" borderId="1" xfId="0" applyFill="1" applyBorder="1" applyAlignment="1" applyProtection="1"/>
    <xf numFmtId="0" fontId="0" fillId="6" borderId="9" xfId="0" applyFill="1" applyBorder="1" applyAlignment="1" applyProtection="1">
      <alignment horizontal="right"/>
    </xf>
    <xf numFmtId="0" fontId="0" fillId="6" borderId="5" xfId="0" applyFill="1" applyBorder="1" applyAlignment="1" applyProtection="1"/>
    <xf numFmtId="0" fontId="0" fillId="6" borderId="6" xfId="0" applyFill="1" applyBorder="1" applyAlignment="1" applyProtection="1"/>
    <xf numFmtId="0" fontId="14" fillId="0" borderId="0" xfId="0" applyFont="1" applyAlignment="1" applyProtection="1"/>
    <xf numFmtId="0" fontId="14" fillId="2" borderId="0" xfId="0" applyFont="1" applyFill="1" applyAlignment="1" applyProtection="1"/>
    <xf numFmtId="0" fontId="0" fillId="6" borderId="0" xfId="0" applyFill="1" applyBorder="1" applyAlignment="1" applyProtection="1">
      <protection locked="0"/>
    </xf>
    <xf numFmtId="168" fontId="0" fillId="2" borderId="0" xfId="2" applyNumberFormat="1" applyFont="1" applyFill="1" applyAlignment="1" applyProtection="1">
      <alignment horizontal="center"/>
    </xf>
    <xf numFmtId="168" fontId="2" fillId="7" borderId="30" xfId="0" applyNumberFormat="1" applyFont="1" applyFill="1" applyBorder="1" applyAlignment="1" applyProtection="1">
      <alignment horizontal="right"/>
    </xf>
    <xf numFmtId="0" fontId="19" fillId="2" borderId="0" xfId="0" applyFont="1" applyFill="1" applyAlignment="1" applyProtection="1">
      <alignment horizontal="right"/>
    </xf>
    <xf numFmtId="0" fontId="0" fillId="2" borderId="3" xfId="0" quotePrefix="1" applyFill="1" applyBorder="1" applyAlignment="1">
      <alignment horizontal="center"/>
    </xf>
    <xf numFmtId="0" fontId="7" fillId="5" borderId="5" xfId="0" applyFont="1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 applyAlignment="1">
      <alignment horizontal="center"/>
    </xf>
    <xf numFmtId="0" fontId="0" fillId="0" borderId="9" xfId="0" applyBorder="1"/>
    <xf numFmtId="0" fontId="0" fillId="2" borderId="32" xfId="0" applyFont="1" applyFill="1" applyBorder="1"/>
    <xf numFmtId="0" fontId="0" fillId="7" borderId="0" xfId="0" applyFill="1" applyBorder="1" applyAlignment="1" applyProtection="1">
      <alignment horizontal="left"/>
      <protection locked="0"/>
    </xf>
    <xf numFmtId="0" fontId="4" fillId="6" borderId="2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/>
    </xf>
    <xf numFmtId="0" fontId="17" fillId="6" borderId="8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left"/>
    </xf>
    <xf numFmtId="0" fontId="0" fillId="7" borderId="6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wrapText="1"/>
    </xf>
    <xf numFmtId="0" fontId="0" fillId="6" borderId="0" xfId="0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11" fontId="2" fillId="2" borderId="9" xfId="0" applyNumberFormat="1" applyFont="1" applyFill="1" applyBorder="1" applyAlignment="1" applyProtection="1">
      <alignment horizontal="left"/>
      <protection locked="0"/>
    </xf>
    <xf numFmtId="11" fontId="2" fillId="2" borderId="5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1" fontId="2" fillId="0" borderId="9" xfId="0" applyNumberFormat="1" applyFont="1" applyBorder="1" applyAlignment="1" applyProtection="1">
      <alignment horizontal="right"/>
      <protection locked="0"/>
    </xf>
    <xf numFmtId="0" fontId="2" fillId="0" borderId="5" xfId="0" applyNumberFormat="1" applyFont="1" applyBorder="1" applyAlignment="1" applyProtection="1">
      <alignment horizontal="right"/>
      <protection locked="0"/>
    </xf>
    <xf numFmtId="0" fontId="2" fillId="0" borderId="6" xfId="0" applyNumberFormat="1" applyFont="1" applyBorder="1" applyAlignment="1" applyProtection="1">
      <alignment horizontal="right"/>
      <protection locked="0"/>
    </xf>
    <xf numFmtId="0" fontId="0" fillId="6" borderId="0" xfId="0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7" borderId="26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10" fillId="7" borderId="28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3" borderId="0" xfId="0" applyNumberForma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2" fillId="7" borderId="29" xfId="0" applyFont="1" applyFill="1" applyBorder="1" applyAlignment="1" applyProtection="1">
      <alignment horizontal="right"/>
    </xf>
    <xf numFmtId="0" fontId="2" fillId="7" borderId="30" xfId="0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11" fontId="2" fillId="2" borderId="9" xfId="0" applyNumberFormat="1" applyFont="1" applyFill="1" applyBorder="1" applyAlignment="1" applyProtection="1">
      <alignment horizontal="left"/>
    </xf>
    <xf numFmtId="11" fontId="2" fillId="2" borderId="5" xfId="0" applyNumberFormat="1" applyFont="1" applyFill="1" applyBorder="1" applyAlignment="1" applyProtection="1">
      <alignment horizontal="left"/>
    </xf>
    <xf numFmtId="168" fontId="2" fillId="7" borderId="30" xfId="0" applyNumberFormat="1" applyFont="1" applyFill="1" applyBorder="1" applyAlignment="1" applyProtection="1">
      <alignment horizontal="center"/>
    </xf>
    <xf numFmtId="0" fontId="2" fillId="7" borderId="31" xfId="0" applyFont="1" applyFill="1" applyBorder="1" applyAlignment="1" applyProtection="1">
      <alignment horizontal="center"/>
    </xf>
    <xf numFmtId="11" fontId="2" fillId="2" borderId="5" xfId="0" applyNumberFormat="1" applyFont="1" applyFill="1" applyBorder="1" applyAlignment="1" applyProtection="1">
      <alignment horizontal="center"/>
    </xf>
    <xf numFmtId="11" fontId="2" fillId="2" borderId="6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1" fontId="2" fillId="2" borderId="9" xfId="0" applyNumberFormat="1" applyFont="1" applyFill="1" applyBorder="1" applyAlignment="1" applyProtection="1">
      <alignment horizontal="center"/>
    </xf>
    <xf numFmtId="0" fontId="2" fillId="0" borderId="9" xfId="0" applyNumberFormat="1" applyFont="1" applyBorder="1" applyAlignment="1" applyProtection="1">
      <alignment horizontal="right"/>
    </xf>
    <xf numFmtId="0" fontId="2" fillId="0" borderId="6" xfId="0" applyNumberFormat="1" applyFont="1" applyBorder="1" applyAlignment="1" applyProtection="1">
      <alignment horizontal="right"/>
    </xf>
  </cellXfs>
  <cellStyles count="3">
    <cellStyle name="Comma 2" xfId="1" xr:uid="{9146B07C-3404-AE49-8ECC-C333ECB22592}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D9D9D9"/>
      <color rgb="FFDAE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Conversion Factors'!$C$4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4</xdr:col>
      <xdr:colOff>406400</xdr:colOff>
      <xdr:row>3</xdr:row>
      <xdr:rowOff>44823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36600"/>
          <a:ext cx="5080000" cy="12894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4</xdr:col>
      <xdr:colOff>50800</xdr:colOff>
      <xdr:row>2</xdr:row>
      <xdr:rowOff>209923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36600"/>
          <a:ext cx="5080000" cy="128942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2298700</xdr:colOff>
          <xdr:row>4</xdr:row>
          <xdr:rowOff>101600</xdr:rowOff>
        </xdr:from>
        <xdr:to>
          <xdr:col>8</xdr:col>
          <xdr:colOff>2362200</xdr:colOff>
          <xdr:row>6</xdr:row>
          <xdr:rowOff>76200</xdr:rowOff>
        </xdr:to>
        <xdr:sp macro="" textlink="">
          <xdr:nvSpPr>
            <xdr:cNvPr id="1042" name="Check Box 18" descr="Custom Calorific Valu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4</xdr:col>
      <xdr:colOff>406400</xdr:colOff>
      <xdr:row>3</xdr:row>
      <xdr:rowOff>44823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673100"/>
          <a:ext cx="5080000" cy="12894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549275</xdr:colOff>
      <xdr:row>6</xdr:row>
      <xdr:rowOff>117476</xdr:rowOff>
    </xdr:from>
    <xdr:to>
      <xdr:col>2</xdr:col>
      <xdr:colOff>663575</xdr:colOff>
      <xdr:row>8</xdr:row>
      <xdr:rowOff>117476</xdr:rowOff>
    </xdr:to>
    <xdr:sp macro="" textlink="">
      <xdr:nvSpPr>
        <xdr:cNvPr id="3" name="Left Bracke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359275" y="3228976"/>
          <a:ext cx="114300" cy="406400"/>
        </a:xfrm>
        <a:prstGeom prst="leftBracket">
          <a:avLst>
            <a:gd name="adj" fmla="val 0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549275</xdr:colOff>
      <xdr:row>9</xdr:row>
      <xdr:rowOff>111126</xdr:rowOff>
    </xdr:from>
    <xdr:to>
      <xdr:col>2</xdr:col>
      <xdr:colOff>663575</xdr:colOff>
      <xdr:row>11</xdr:row>
      <xdr:rowOff>111126</xdr:rowOff>
    </xdr:to>
    <xdr:sp macro="" textlink="">
      <xdr:nvSpPr>
        <xdr:cNvPr id="4" name="Left Bracke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359275" y="3832226"/>
          <a:ext cx="114300" cy="406400"/>
        </a:xfrm>
        <a:prstGeom prst="leftBracket">
          <a:avLst>
            <a:gd name="adj" fmla="val 0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269875</xdr:colOff>
      <xdr:row>6</xdr:row>
      <xdr:rowOff>190500</xdr:rowOff>
    </xdr:from>
    <xdr:to>
      <xdr:col>2</xdr:col>
      <xdr:colOff>587375</xdr:colOff>
      <xdr:row>8</xdr:row>
      <xdr:rowOff>41275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079875" y="3302000"/>
          <a:ext cx="317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①</a:t>
          </a:r>
        </a:p>
      </xdr:txBody>
    </xdr:sp>
    <xdr:clientData/>
  </xdr:twoCellAnchor>
  <xdr:twoCellAnchor>
    <xdr:from>
      <xdr:col>2</xdr:col>
      <xdr:colOff>260350</xdr:colOff>
      <xdr:row>9</xdr:row>
      <xdr:rowOff>174625</xdr:rowOff>
    </xdr:from>
    <xdr:to>
      <xdr:col>2</xdr:col>
      <xdr:colOff>577850</xdr:colOff>
      <xdr:row>11</xdr:row>
      <xdr:rowOff>25400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070350" y="3895725"/>
          <a:ext cx="317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E35B-8D66-E641-8171-6C81AD949154}">
  <sheetPr>
    <tabColor rgb="FFFFC000"/>
  </sheetPr>
  <dimension ref="B1:O58"/>
  <sheetViews>
    <sheetView zoomScaleNormal="100" workbookViewId="0">
      <pane xSplit="12" ySplit="27" topLeftCell="M28" activePane="bottomRight" state="frozen"/>
      <selection pane="topRight" activeCell="M1" sqref="M1"/>
      <selection pane="bottomLeft" activeCell="A28" sqref="A28"/>
      <selection pane="bottomRight" activeCell="E14" sqref="E14"/>
    </sheetView>
  </sheetViews>
  <sheetFormatPr baseColWidth="10" defaultRowHeight="16"/>
  <cols>
    <col min="1" max="1" width="8.33203125" style="6" customWidth="1"/>
    <col min="2" max="2" width="41.6640625" style="6" customWidth="1"/>
    <col min="3" max="3" width="12.1640625" style="6" bestFit="1" customWidth="1"/>
    <col min="4" max="4" width="8" style="6" customWidth="1"/>
    <col min="5" max="5" width="37.5" style="6" customWidth="1"/>
    <col min="6" max="6" width="35" style="6" customWidth="1"/>
    <col min="7" max="7" width="3" style="6" bestFit="1" customWidth="1"/>
    <col min="8" max="8" width="33.33203125" style="6" customWidth="1"/>
    <col min="9" max="9" width="5.1640625" style="6" bestFit="1" customWidth="1"/>
    <col min="10" max="10" width="12.5" style="6" customWidth="1"/>
    <col min="11" max="11" width="29.1640625" style="6" customWidth="1"/>
    <col min="12" max="12" width="8.33203125" style="6" customWidth="1"/>
    <col min="13" max="13" width="10.83203125" style="6" customWidth="1"/>
    <col min="14" max="16384" width="10.83203125" style="6"/>
  </cols>
  <sheetData>
    <row r="1" spans="2:11" ht="50" customHeight="1"/>
    <row r="2" spans="2:11" ht="88" customHeight="1">
      <c r="B2" s="32"/>
      <c r="C2" s="33"/>
      <c r="D2" s="33"/>
      <c r="E2" s="33"/>
      <c r="F2" s="33"/>
      <c r="G2" s="33"/>
      <c r="H2" s="33"/>
      <c r="I2" s="33"/>
      <c r="J2" s="33"/>
      <c r="K2" s="34"/>
    </row>
    <row r="3" spans="2:11" ht="13" customHeight="1">
      <c r="B3" s="36"/>
      <c r="C3" s="128"/>
      <c r="D3" s="128"/>
      <c r="E3" s="128"/>
      <c r="F3" s="128"/>
      <c r="G3" s="128"/>
      <c r="H3" s="128"/>
      <c r="I3" s="128"/>
      <c r="J3" s="73"/>
      <c r="K3" s="31"/>
    </row>
    <row r="4" spans="2:11" ht="62">
      <c r="B4" s="36"/>
      <c r="C4" s="129" t="s">
        <v>173</v>
      </c>
      <c r="D4" s="129"/>
      <c r="E4" s="129"/>
      <c r="F4" s="129"/>
      <c r="G4" s="129"/>
      <c r="H4" s="129"/>
      <c r="I4" s="129"/>
      <c r="J4" s="74"/>
      <c r="K4" s="31"/>
    </row>
    <row r="5" spans="2:11" s="7" customFormat="1">
      <c r="B5" s="37"/>
      <c r="C5" s="127" t="s">
        <v>131</v>
      </c>
      <c r="D5" s="127"/>
      <c r="E5" s="127"/>
      <c r="F5" s="127"/>
      <c r="G5" s="127"/>
      <c r="H5" s="127"/>
      <c r="I5" s="127"/>
      <c r="J5" s="68"/>
      <c r="K5" s="41"/>
    </row>
    <row r="6" spans="2:11" s="7" customFormat="1">
      <c r="B6" s="37"/>
      <c r="C6" s="68"/>
      <c r="D6" s="68"/>
      <c r="E6" s="68"/>
      <c r="F6" s="68"/>
      <c r="G6" s="68"/>
      <c r="H6" s="68"/>
      <c r="I6" s="68"/>
      <c r="J6" s="68"/>
      <c r="K6" s="41"/>
    </row>
    <row r="7" spans="2:11" s="7" customFormat="1">
      <c r="B7" s="37"/>
      <c r="C7" s="12" t="s">
        <v>120</v>
      </c>
      <c r="D7" s="130">
        <v>0.98</v>
      </c>
      <c r="E7" s="130"/>
      <c r="F7" s="13" t="s">
        <v>148</v>
      </c>
      <c r="G7" s="40"/>
      <c r="H7" s="40"/>
      <c r="I7" s="40"/>
      <c r="J7" s="40"/>
      <c r="K7" s="41"/>
    </row>
    <row r="8" spans="2:11" s="7" customFormat="1">
      <c r="B8" s="37"/>
      <c r="C8" s="12" t="s">
        <v>121</v>
      </c>
      <c r="D8" s="130">
        <v>0.6</v>
      </c>
      <c r="E8" s="130"/>
      <c r="F8" s="13" t="s">
        <v>153</v>
      </c>
      <c r="G8" s="40"/>
      <c r="H8" s="40"/>
      <c r="I8" s="40"/>
      <c r="J8" s="40"/>
      <c r="K8" s="41"/>
    </row>
    <row r="9" spans="2:11" s="7" customFormat="1">
      <c r="B9" s="37"/>
      <c r="C9" s="12" t="s">
        <v>122</v>
      </c>
      <c r="D9" s="130">
        <v>0.94</v>
      </c>
      <c r="E9" s="130"/>
      <c r="F9" s="13" t="s">
        <v>156</v>
      </c>
      <c r="G9" s="40"/>
      <c r="H9" s="40"/>
      <c r="I9" s="40"/>
      <c r="J9" s="40"/>
      <c r="K9" s="41"/>
    </row>
    <row r="10" spans="2:11" s="7" customFormat="1">
      <c r="B10" s="37"/>
      <c r="C10" s="12" t="s">
        <v>123</v>
      </c>
      <c r="D10" s="76">
        <v>5</v>
      </c>
      <c r="E10" s="62" t="s">
        <v>137</v>
      </c>
      <c r="F10" s="13" t="s">
        <v>144</v>
      </c>
      <c r="G10" s="40"/>
      <c r="H10" s="40"/>
      <c r="I10" s="40"/>
      <c r="J10" s="40"/>
      <c r="K10" s="41"/>
    </row>
    <row r="11" spans="2:11" s="7" customFormat="1" ht="18">
      <c r="B11" s="37"/>
      <c r="C11" s="12" t="s">
        <v>167</v>
      </c>
      <c r="D11" s="76">
        <v>100</v>
      </c>
      <c r="E11" s="62" t="s">
        <v>172</v>
      </c>
      <c r="F11" s="13" t="s">
        <v>151</v>
      </c>
      <c r="H11" s="40"/>
      <c r="I11" s="40"/>
      <c r="J11" s="40"/>
      <c r="K11" s="41"/>
    </row>
    <row r="12" spans="2:11" s="7" customFormat="1" ht="18">
      <c r="B12" s="37"/>
      <c r="C12" s="12" t="s">
        <v>168</v>
      </c>
      <c r="D12" s="76">
        <v>30</v>
      </c>
      <c r="E12" s="62" t="s">
        <v>172</v>
      </c>
      <c r="F12" s="13" t="s">
        <v>152</v>
      </c>
      <c r="H12" s="40"/>
      <c r="I12" s="40"/>
      <c r="J12" s="40"/>
      <c r="K12" s="41"/>
    </row>
    <row r="13" spans="2:11" s="7" customFormat="1">
      <c r="B13" s="37"/>
      <c r="C13" s="12" t="s">
        <v>124</v>
      </c>
      <c r="D13" s="76">
        <v>300</v>
      </c>
      <c r="E13" s="62" t="s">
        <v>200</v>
      </c>
      <c r="F13" s="13" t="s">
        <v>154</v>
      </c>
      <c r="G13" s="40"/>
      <c r="H13" s="40"/>
      <c r="I13" s="40"/>
      <c r="J13" s="40"/>
      <c r="K13" s="41"/>
    </row>
    <row r="14" spans="2:11" s="7" customFormat="1">
      <c r="B14" s="37"/>
      <c r="C14" s="12" t="s">
        <v>126</v>
      </c>
      <c r="D14" s="76">
        <v>30</v>
      </c>
      <c r="E14" s="62" t="s">
        <v>196</v>
      </c>
      <c r="F14" s="13" t="s">
        <v>155</v>
      </c>
      <c r="G14" s="40"/>
      <c r="H14" s="40"/>
      <c r="I14" s="40"/>
      <c r="J14" s="40"/>
      <c r="K14" s="41"/>
    </row>
    <row r="15" spans="2:11" s="7" customFormat="1">
      <c r="B15" s="37"/>
      <c r="C15" s="40"/>
      <c r="D15" s="40"/>
      <c r="E15" s="40"/>
      <c r="F15" s="40"/>
      <c r="G15" s="40"/>
      <c r="H15" s="40"/>
      <c r="I15" s="40"/>
      <c r="J15" s="40"/>
      <c r="K15" s="41"/>
    </row>
    <row r="16" spans="2:11" ht="92" customHeight="1">
      <c r="B16" s="36"/>
      <c r="C16" s="131" t="s">
        <v>132</v>
      </c>
      <c r="D16" s="132"/>
      <c r="E16" s="132"/>
      <c r="F16" s="132"/>
      <c r="G16" s="132"/>
      <c r="H16" s="132"/>
      <c r="I16" s="133"/>
      <c r="J16" s="94"/>
      <c r="K16" s="31"/>
    </row>
    <row r="17" spans="2:15" s="7" customFormat="1" ht="28" customHeight="1">
      <c r="B17" s="37"/>
      <c r="C17" s="90"/>
      <c r="D17" s="91"/>
      <c r="E17" s="30" t="s">
        <v>54</v>
      </c>
      <c r="F17" s="71" t="s">
        <v>55</v>
      </c>
      <c r="G17" s="91"/>
      <c r="H17" s="40"/>
      <c r="I17" s="10" t="s">
        <v>53</v>
      </c>
      <c r="J17" s="8"/>
      <c r="K17" s="41"/>
    </row>
    <row r="18" spans="2:15" s="7" customFormat="1" ht="24">
      <c r="B18" s="37"/>
      <c r="C18" s="92"/>
      <c r="D18" s="95" t="s">
        <v>133</v>
      </c>
      <c r="E18" s="93" t="str">
        <f>IF(C55&gt;1000000,IF(I18=1,TEXT(C55,"0"&amp;REPT("0",(I18-1))&amp;"E+0"),TEXT(C55,"0"&amp;"."&amp;REPT("0",(I18-1))&amp;"E+0")),TEXT(IF(C55&lt;0,"-","")&amp;LEFT(TEXT(ABS(C55),"0."&amp;REPT("0",I18-1)&amp;"E+00"),I18+1)*10^FLOOR(LOG10(TEXT(ABS(C55),"0."&amp;REPT("0",I18-1)&amp;"E+00")),1),(""&amp;(IF(OR(AND(FLOOR(LOG10(TEXT(ABS(C55),"0."&amp;REPT("0",I18-1)&amp;"E+00")),1)+1=I18,RIGHT(LEFT(TEXT(ABS(C55),"0."&amp;REPT("0",I18-1)&amp;"E+00"),I18+1)*10^FLOOR(LOG10(TEXT(ABS(C55),"0."&amp;REPT("0",I18-1)&amp;"E+00")),1),1)="0"),LOG10(TEXT(ABS(C55),"0."&amp;REPT("0",I18-1)&amp;"E+00"))&lt;=I18-1),"0.","#")&amp;REPT("0",IF(I18-1-(FLOOR(LOG10(TEXT(ABS(C55),"0."&amp;REPT("0",I18-1)&amp;"E+00")),1))&gt;0,I18-1-(FLOOR(LOG10(TEXT(ABS(C55),"0."&amp;REPT("0",I18-1)&amp;"E+00")),1)),0))))))</f>
        <v>633.1145</v>
      </c>
      <c r="F18" s="138" t="s">
        <v>147</v>
      </c>
      <c r="G18" s="139"/>
      <c r="H18" s="139"/>
      <c r="I18" s="5">
        <v>7</v>
      </c>
      <c r="J18" s="75"/>
      <c r="K18" s="43"/>
    </row>
    <row r="19" spans="2:15" s="7" customFormat="1" ht="24">
      <c r="B19" s="37"/>
      <c r="C19" s="134"/>
      <c r="D19" s="134"/>
      <c r="E19" s="134"/>
      <c r="F19" s="134"/>
      <c r="G19" s="134"/>
      <c r="H19" s="134"/>
      <c r="I19" s="134"/>
      <c r="J19" s="69"/>
      <c r="K19" s="44"/>
    </row>
    <row r="20" spans="2:15" s="7" customFormat="1" ht="26" customHeight="1">
      <c r="B20" s="37"/>
      <c r="C20" s="135"/>
      <c r="D20" s="135"/>
      <c r="E20" s="135"/>
      <c r="F20" s="135"/>
      <c r="G20" s="135"/>
      <c r="H20" s="135"/>
      <c r="I20" s="135"/>
      <c r="J20" s="70"/>
      <c r="K20" s="41"/>
    </row>
    <row r="21" spans="2:15" s="7" customFormat="1" ht="20" customHeight="1">
      <c r="B21" s="45"/>
      <c r="C21" s="46"/>
      <c r="D21" s="46"/>
      <c r="E21" s="46"/>
      <c r="F21" s="46"/>
      <c r="G21" s="35"/>
      <c r="H21" s="47"/>
      <c r="I21" s="46"/>
      <c r="J21" s="46"/>
      <c r="K21" s="48"/>
    </row>
    <row r="22" spans="2:15" ht="26">
      <c r="C22" s="22"/>
    </row>
    <row r="23" spans="2:15">
      <c r="B23" s="136" t="s">
        <v>127</v>
      </c>
      <c r="C23" s="137"/>
      <c r="D23" s="96"/>
      <c r="H23" s="119" t="s">
        <v>136</v>
      </c>
      <c r="I23" s="120"/>
      <c r="J23" s="120"/>
      <c r="K23" s="121"/>
    </row>
    <row r="24" spans="2:15">
      <c r="B24" s="88" t="s">
        <v>128</v>
      </c>
      <c r="C24" s="89"/>
      <c r="D24" s="40"/>
      <c r="H24" s="122" t="s">
        <v>118</v>
      </c>
      <c r="I24" s="123"/>
      <c r="J24" s="123"/>
      <c r="K24" s="124"/>
    </row>
    <row r="25" spans="2:15">
      <c r="B25" s="97" t="s">
        <v>129</v>
      </c>
      <c r="C25" s="98"/>
      <c r="D25" s="40"/>
      <c r="E25" s="40"/>
      <c r="H25" s="99" t="s">
        <v>158</v>
      </c>
      <c r="I25" s="100" t="s">
        <v>134</v>
      </c>
      <c r="J25" s="100">
        <v>15</v>
      </c>
      <c r="K25" s="101" t="s">
        <v>137</v>
      </c>
    </row>
    <row r="26" spans="2:15">
      <c r="B26" s="125" t="s">
        <v>130</v>
      </c>
      <c r="C26" s="126"/>
      <c r="D26" s="40"/>
      <c r="E26" s="40"/>
      <c r="H26" s="102" t="s">
        <v>157</v>
      </c>
      <c r="I26" s="103" t="s">
        <v>135</v>
      </c>
      <c r="J26" s="103">
        <v>1</v>
      </c>
      <c r="K26" s="104" t="s">
        <v>141</v>
      </c>
    </row>
    <row r="27" spans="2:15" ht="50" customHeight="1">
      <c r="D27" s="40"/>
      <c r="E27" s="40"/>
    </row>
    <row r="28" spans="2:15" ht="100" customHeight="1">
      <c r="I28" s="105"/>
      <c r="J28" s="106"/>
      <c r="K28" s="106"/>
      <c r="L28" s="106"/>
      <c r="M28" s="106"/>
      <c r="N28" s="106"/>
      <c r="O28" s="105"/>
    </row>
    <row r="29" spans="2:15" hidden="1">
      <c r="B29" s="72" t="s">
        <v>143</v>
      </c>
      <c r="C29" s="72">
        <f>IF(K25=B30,((J25*(9/5))+491.67),IF(K25=B31,(J25+459.67),IF(K25=B32,J25,IF(K25=B33,(J25*(9/5)),"ERROR"))))</f>
        <v>518.67000000000007</v>
      </c>
      <c r="D29" s="6" t="s">
        <v>149</v>
      </c>
      <c r="F29" s="72" t="s">
        <v>145</v>
      </c>
      <c r="H29" s="6">
        <f>IF(E10=F30,((D10*(9/5))+491.67),IF(E10=F31,(D10+459.67),IF(E10=F32,D10,IF(E10=F33,(D10*(9/5)),"ERROR"))))</f>
        <v>500.67</v>
      </c>
    </row>
    <row r="30" spans="2:15" hidden="1">
      <c r="B30" s="6" t="s">
        <v>137</v>
      </c>
      <c r="F30" s="6" t="s">
        <v>137</v>
      </c>
    </row>
    <row r="31" spans="2:15" hidden="1">
      <c r="B31" s="6" t="s">
        <v>138</v>
      </c>
      <c r="F31" s="6" t="s">
        <v>138</v>
      </c>
    </row>
    <row r="32" spans="2:15" hidden="1">
      <c r="B32" s="6" t="s">
        <v>139</v>
      </c>
      <c r="F32" s="6" t="s">
        <v>139</v>
      </c>
    </row>
    <row r="33" spans="2:14" hidden="1">
      <c r="B33" s="6" t="s">
        <v>140</v>
      </c>
      <c r="F33" s="6" t="s">
        <v>140</v>
      </c>
    </row>
    <row r="34" spans="2:14" hidden="1"/>
    <row r="35" spans="2:14" hidden="1">
      <c r="B35" s="72" t="s">
        <v>146</v>
      </c>
      <c r="C35" s="6">
        <f>IF(K26=B36,J26,IF(K26=B37,J26*14.503773773022,IF(K26=B38,J26*(14.503773773022/100000),"ERROR")))</f>
        <v>14.503773773022001</v>
      </c>
      <c r="D35" s="6" t="s">
        <v>150</v>
      </c>
      <c r="F35" s="72" t="s">
        <v>159</v>
      </c>
      <c r="H35" s="6">
        <f>IF(E11=F36,D11,IF(E11=F38,D11*14.503773773022,IF(E11=F40,D11*(14.503773773022/100000),IF(E11=F37,D11+14.696,IF(E11=F39,(D11+1.01325)*14.503773773022,"ERROR")))))</f>
        <v>1465.0733260777147</v>
      </c>
      <c r="K35" s="72" t="s">
        <v>152</v>
      </c>
      <c r="M35" s="6">
        <f>IF(E12=K36,D12,IF(E12=K38,D12*14.503773773022,IF(E12=K40,D12*(14.503773773022/100000),IF(E12=K37,D12+14.696,IF(E12=K39,(D12+1.01325)*14.503773773022,"ERROR")))))</f>
        <v>449.80916196617454</v>
      </c>
      <c r="N35" s="6" t="s">
        <v>119</v>
      </c>
    </row>
    <row r="36" spans="2:14" hidden="1">
      <c r="B36" s="6" t="s">
        <v>169</v>
      </c>
      <c r="F36" s="6" t="s">
        <v>170</v>
      </c>
      <c r="K36" s="6" t="s">
        <v>170</v>
      </c>
    </row>
    <row r="37" spans="2:14" hidden="1">
      <c r="B37" s="6" t="s">
        <v>141</v>
      </c>
      <c r="F37" s="6" t="s">
        <v>171</v>
      </c>
      <c r="K37" s="6" t="s">
        <v>171</v>
      </c>
    </row>
    <row r="38" spans="2:14" hidden="1">
      <c r="B38" s="6" t="s">
        <v>142</v>
      </c>
      <c r="F38" s="6" t="s">
        <v>141</v>
      </c>
      <c r="K38" s="6" t="s">
        <v>141</v>
      </c>
    </row>
    <row r="39" spans="2:14" hidden="1">
      <c r="F39" s="6" t="s">
        <v>172</v>
      </c>
      <c r="K39" s="6" t="s">
        <v>172</v>
      </c>
    </row>
    <row r="40" spans="2:14" hidden="1">
      <c r="B40" s="72" t="s">
        <v>148</v>
      </c>
      <c r="C40" s="6">
        <f>D7</f>
        <v>0.98</v>
      </c>
      <c r="F40" s="6" t="s">
        <v>142</v>
      </c>
      <c r="K40" s="6" t="s">
        <v>142</v>
      </c>
    </row>
    <row r="41" spans="2:14" hidden="1">
      <c r="B41" s="6">
        <v>0.98</v>
      </c>
    </row>
    <row r="42" spans="2:14" hidden="1">
      <c r="B42" s="6">
        <v>0.92</v>
      </c>
    </row>
    <row r="43" spans="2:14" hidden="1">
      <c r="B43" s="6">
        <v>0.85</v>
      </c>
    </row>
    <row r="44" spans="2:14" hidden="1"/>
    <row r="45" spans="2:14" hidden="1">
      <c r="B45" s="72" t="s">
        <v>160</v>
      </c>
      <c r="C45" s="6">
        <f>IF(E13=B46,D13,IF(E13=B47,D13*0.62137,"ERROR"))</f>
        <v>300</v>
      </c>
      <c r="D45" s="6" t="s">
        <v>125</v>
      </c>
    </row>
    <row r="46" spans="2:14" hidden="1">
      <c r="B46" s="6" t="s">
        <v>200</v>
      </c>
    </row>
    <row r="47" spans="2:14" hidden="1">
      <c r="B47" s="6" t="s">
        <v>199</v>
      </c>
    </row>
    <row r="48" spans="2:14" hidden="1"/>
    <row r="49" spans="2:4" hidden="1">
      <c r="B49" s="72" t="s">
        <v>161</v>
      </c>
      <c r="C49" s="6">
        <f>IF(E14=B50,D14,IF(E14=B51,D14*0.03937,IF(E14=B52,D14*0.3937,IF(E14=B53,D14*39.37,"ERROR"))))</f>
        <v>30</v>
      </c>
      <c r="D49" s="6" t="s">
        <v>166</v>
      </c>
    </row>
    <row r="50" spans="2:4" hidden="1">
      <c r="B50" s="6" t="s">
        <v>196</v>
      </c>
    </row>
    <row r="51" spans="2:4" hidden="1">
      <c r="B51" s="6" t="s">
        <v>162</v>
      </c>
    </row>
    <row r="52" spans="2:4" hidden="1">
      <c r="B52" s="6" t="s">
        <v>164</v>
      </c>
    </row>
    <row r="53" spans="2:4" hidden="1">
      <c r="B53" s="6" t="s">
        <v>165</v>
      </c>
    </row>
    <row r="54" spans="2:4" hidden="1"/>
    <row r="55" spans="2:4" hidden="1">
      <c r="B55" s="77" t="s">
        <v>50</v>
      </c>
      <c r="C55" s="78">
        <f>IF(F18=B56,C56,C57)</f>
        <v>633.11453708183512</v>
      </c>
    </row>
    <row r="56" spans="2:4" hidden="1">
      <c r="B56" s="79" t="s">
        <v>201</v>
      </c>
      <c r="C56" s="80">
        <f>433.49*(C29/C35)*C40*((H35^2-M35^2)/((D8)*D9*H29*(C45)))^0.5*((C49)^2.667)</f>
        <v>633114537.08183515</v>
      </c>
    </row>
    <row r="57" spans="2:4" hidden="1">
      <c r="B57" s="81" t="s">
        <v>202</v>
      </c>
      <c r="C57" s="82">
        <f>C56/1000000</f>
        <v>633.11453708183512</v>
      </c>
    </row>
    <row r="58" spans="2:4" hidden="1"/>
  </sheetData>
  <sheetProtection algorithmName="SHA-512" hashValue="mAd7ntN9ybKiKHYKe06dZKKVLzsB0ut/eColFEwRwjJBFZiCMOiDFPiDSzvLn5P0Vb3ae201od1X0o4FSnaw3g==" saltValue="tc7Xsa+G5aCnCTStoJhe2w==" spinCount="100000" sheet="1" objects="1" scenarios="1"/>
  <mergeCells count="14">
    <mergeCell ref="H23:K23"/>
    <mergeCell ref="H24:K24"/>
    <mergeCell ref="B26:C26"/>
    <mergeCell ref="C5:I5"/>
    <mergeCell ref="C3:I3"/>
    <mergeCell ref="C4:I4"/>
    <mergeCell ref="D7:E7"/>
    <mergeCell ref="C16:I16"/>
    <mergeCell ref="C19:I19"/>
    <mergeCell ref="C20:I20"/>
    <mergeCell ref="B23:C23"/>
    <mergeCell ref="D8:E8"/>
    <mergeCell ref="D9:E9"/>
    <mergeCell ref="F18:H18"/>
  </mergeCells>
  <dataValidations count="11">
    <dataValidation type="list" allowBlank="1" showInputMessage="1" showErrorMessage="1" sqref="K25" xr:uid="{6D8CF277-CBE5-D340-AAA3-7350C15995C9}">
      <formula1>$B$30:$B$33</formula1>
    </dataValidation>
    <dataValidation type="list" allowBlank="1" showInputMessage="1" showErrorMessage="1" sqref="K26" xr:uid="{83CC7300-69D2-F740-BD17-4D00928D5107}">
      <formula1>$B$36:$B$38</formula1>
    </dataValidation>
    <dataValidation type="decimal" allowBlank="1" showErrorMessage="1" error="Value Must be between 0.6 and 0.7" promptTitle="aaaa" sqref="D8:E8" xr:uid="{28F83E5E-1EA0-E846-BEDB-210C4A251254}">
      <formula1>0.6</formula1>
      <formula2>0.7</formula2>
    </dataValidation>
    <dataValidation type="list" allowBlank="1" showInputMessage="1" showErrorMessage="1" sqref="E10" xr:uid="{3C9445C9-9F72-0C40-8BF4-BADCD69A91A4}">
      <formula1>$F$30:$F$33</formula1>
    </dataValidation>
    <dataValidation type="list" allowBlank="1" showInputMessage="1" showErrorMessage="1" sqref="D7:E7" xr:uid="{69F4ED8C-4757-BE49-A074-CD94B2D589A6}">
      <formula1>$B$41:$B$43</formula1>
    </dataValidation>
    <dataValidation type="list" allowBlank="1" showInputMessage="1" showErrorMessage="1" sqref="E13" xr:uid="{FCDC820D-7BE1-8344-9D0D-01ACE606C2BA}">
      <formula1>$B$46:$B$47</formula1>
    </dataValidation>
    <dataValidation type="list" allowBlank="1" showInputMessage="1" showErrorMessage="1" sqref="E14" xr:uid="{88BA4615-7F74-1242-93F6-1423B96CC819}">
      <formula1>$B$50:$B$53</formula1>
    </dataValidation>
    <dataValidation type="list" errorStyle="warning" operator="greaterThan" allowBlank="1" showInputMessage="1" showErrorMessage="1" errorTitle="ERROR" error="Must be a number" sqref="F18" xr:uid="{B13DF3E9-DAB0-4B46-9D9E-8547B9C00E82}">
      <formula1>$B$56:$B$57</formula1>
    </dataValidation>
    <dataValidation type="list" allowBlank="1" showInputMessage="1" showErrorMessage="1" sqref="E11" xr:uid="{E308866D-EB10-DD47-A2CB-1F4DFDBF8694}">
      <formula1>$F$36:$F$40</formula1>
    </dataValidation>
    <dataValidation type="list" allowBlank="1" showInputMessage="1" showErrorMessage="1" sqref="E12" xr:uid="{456BE757-2C5E-C747-A694-18B9AC453137}">
      <formula1>$K$36:$K$40</formula1>
    </dataValidation>
    <dataValidation type="list" allowBlank="1" showInputMessage="1" showErrorMessage="1" sqref="I18" xr:uid="{A24EAA64-8680-BE49-8384-EA0FC1DB8E88}">
      <formula1>"1,2,3,4,5,6,7,8,9"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91EA-DC0E-6C4F-9EB5-1BCF2BD0C5B7}">
  <sheetPr>
    <tabColor rgb="FFC00000"/>
  </sheetPr>
  <dimension ref="B1:K14"/>
  <sheetViews>
    <sheetView zoomScaleNormal="100" workbookViewId="0">
      <pane xSplit="12" ySplit="14" topLeftCell="M24" activePane="bottomRight" state="frozen"/>
      <selection pane="topRight" activeCell="M1" sqref="M1"/>
      <selection pane="bottomLeft" activeCell="A15" sqref="A15"/>
      <selection pane="bottomRight" activeCell="D5" sqref="D5:E5"/>
    </sheetView>
  </sheetViews>
  <sheetFormatPr baseColWidth="10" defaultRowHeight="16"/>
  <cols>
    <col min="1" max="1" width="16.6640625" style="6" customWidth="1"/>
    <col min="2" max="2" width="41.6640625" style="6" customWidth="1"/>
    <col min="3" max="3" width="16.83203125" style="6" customWidth="1"/>
    <col min="4" max="4" width="8" style="6" customWidth="1"/>
    <col min="5" max="5" width="8.5" style="6" customWidth="1"/>
    <col min="6" max="6" width="35" style="6" customWidth="1"/>
    <col min="7" max="7" width="3" style="6" bestFit="1" customWidth="1"/>
    <col min="8" max="8" width="33.33203125" style="6" customWidth="1"/>
    <col min="9" max="9" width="35" style="6" customWidth="1"/>
    <col min="10" max="10" width="5.1640625" style="6" bestFit="1" customWidth="1"/>
    <col min="11" max="11" width="41.6640625" style="6" customWidth="1"/>
    <col min="12" max="12" width="16.6640625" style="6" customWidth="1"/>
    <col min="13" max="16384" width="10.83203125" style="6"/>
  </cols>
  <sheetData>
    <row r="1" spans="2:11" ht="100" customHeight="1"/>
    <row r="2" spans="2:11" ht="88" customHeight="1">
      <c r="B2" s="32"/>
      <c r="C2" s="33"/>
      <c r="D2" s="33"/>
      <c r="E2" s="33"/>
      <c r="F2" s="33"/>
      <c r="G2" s="33"/>
      <c r="H2" s="33"/>
      <c r="I2" s="33"/>
      <c r="J2" s="33"/>
      <c r="K2" s="34"/>
    </row>
    <row r="3" spans="2:11" ht="115" customHeight="1">
      <c r="B3" s="36"/>
      <c r="C3" s="140" t="s">
        <v>114</v>
      </c>
      <c r="D3" s="140"/>
      <c r="E3" s="140"/>
      <c r="F3" s="140"/>
      <c r="G3" s="140"/>
      <c r="H3" s="140"/>
      <c r="I3" s="140"/>
      <c r="J3" s="140"/>
      <c r="K3" s="31"/>
    </row>
    <row r="4" spans="2:11" s="7" customFormat="1">
      <c r="B4" s="37"/>
      <c r="C4" s="38" t="s">
        <v>106</v>
      </c>
      <c r="D4" s="150" t="s">
        <v>80</v>
      </c>
      <c r="E4" s="150"/>
      <c r="F4" s="39" t="s">
        <v>107</v>
      </c>
      <c r="G4" s="40"/>
      <c r="H4" s="40"/>
      <c r="I4" s="40"/>
      <c r="J4" s="40"/>
      <c r="K4" s="41"/>
    </row>
    <row r="5" spans="2:11" s="7" customFormat="1">
      <c r="B5" s="37"/>
      <c r="C5" s="38" t="s">
        <v>108</v>
      </c>
      <c r="D5" s="150" t="s">
        <v>82</v>
      </c>
      <c r="E5" s="150"/>
      <c r="F5" s="39" t="s">
        <v>83</v>
      </c>
      <c r="G5" s="40"/>
      <c r="H5" s="40"/>
      <c r="I5" s="40"/>
      <c r="J5" s="40"/>
      <c r="K5" s="41"/>
    </row>
    <row r="6" spans="2:11" s="7" customFormat="1">
      <c r="B6" s="37"/>
      <c r="C6" s="38" t="s">
        <v>93</v>
      </c>
      <c r="D6" s="118"/>
      <c r="E6" s="118" t="s">
        <v>91</v>
      </c>
      <c r="F6" s="42" t="s">
        <v>109</v>
      </c>
      <c r="G6" s="40"/>
      <c r="H6" s="40"/>
      <c r="I6" s="49" t="s">
        <v>113</v>
      </c>
      <c r="J6" s="40"/>
      <c r="K6" s="41"/>
    </row>
    <row r="7" spans="2:11" s="7" customFormat="1">
      <c r="B7" s="37"/>
      <c r="C7" s="40"/>
      <c r="D7" s="40"/>
      <c r="E7" s="40"/>
      <c r="F7" s="40"/>
      <c r="G7" s="40"/>
      <c r="H7" s="40"/>
      <c r="I7" s="40"/>
      <c r="J7" s="40"/>
      <c r="K7" s="41"/>
    </row>
    <row r="8" spans="2:11" ht="92">
      <c r="B8" s="36"/>
      <c r="C8" s="144" t="s">
        <v>42</v>
      </c>
      <c r="D8" s="145"/>
      <c r="E8" s="145"/>
      <c r="F8" s="145"/>
      <c r="G8" s="23"/>
      <c r="H8" s="145" t="s">
        <v>44</v>
      </c>
      <c r="I8" s="145"/>
      <c r="J8" s="151"/>
      <c r="K8" s="31"/>
    </row>
    <row r="9" spans="2:11" s="7" customFormat="1" ht="28" customHeight="1">
      <c r="B9" s="37"/>
      <c r="C9" s="141" t="s">
        <v>56</v>
      </c>
      <c r="D9" s="142"/>
      <c r="E9" s="143"/>
      <c r="F9" s="8" t="s">
        <v>55</v>
      </c>
      <c r="G9" s="9"/>
      <c r="H9" s="24" t="s">
        <v>54</v>
      </c>
      <c r="I9" s="8" t="s">
        <v>55</v>
      </c>
      <c r="J9" s="10" t="s">
        <v>53</v>
      </c>
      <c r="K9" s="41"/>
    </row>
    <row r="10" spans="2:11" s="7" customFormat="1" ht="24">
      <c r="B10" s="37"/>
      <c r="C10" s="147">
        <v>1</v>
      </c>
      <c r="D10" s="148"/>
      <c r="E10" s="149"/>
      <c r="F10" s="2" t="s">
        <v>66</v>
      </c>
      <c r="G10" s="11" t="s">
        <v>43</v>
      </c>
      <c r="H10" s="3" t="str">
        <f>IF('Conversion Factors'!P3&gt;1000000,IF(J10=1,TEXT('Conversion Factors'!P3,"0"&amp;REPT("0",('Energy Convertor'!J10-1))&amp;"E+0"),TEXT('Conversion Factors'!P3,"0"&amp;"."&amp;REPT("0",('Energy Convertor'!J10-1))&amp;"E+0")),IF('Conversion Factors'!P3&lt;0.000001,IF(J10=1,TEXT('Conversion Factors'!P3,"0"&amp;REPT("0",('Energy Convertor'!J10-1))&amp;"E-0"),TEXT('Conversion Factors'!P3,"0"&amp;"."&amp;REPT("0",('Energy Convertor'!J10-1))&amp;"E-0")),TEXT(IF('Conversion Factors'!P3&lt;0,"-","")&amp;LEFT(TEXT(ABS('Conversion Factors'!P3),"0."&amp;REPT("0",J10-1)&amp;"E+00"),J10+1)*10^FLOOR(LOG10(TEXT(ABS('Conversion Factors'!P3),"0."&amp;REPT("0",J10-1)&amp;"E+00")),1),(""&amp;(IF(OR(AND(FLOOR(LOG10(TEXT(ABS('Conversion Factors'!P3),"0."&amp;REPT("0",J10-1)&amp;"E+00")),1)+1=J10,RIGHT(LEFT(TEXT(ABS('Conversion Factors'!P3),"0."&amp;REPT("0",J10-1)&amp;"E+00"),J10+1)*10^FLOOR(LOG10(TEXT(ABS('Conversion Factors'!P3),"0."&amp;REPT("0",J10-1)&amp;"E+00")),1),1)="0"),LOG10(TEXT(ABS('Conversion Factors'!P3),"0."&amp;REPT("0",J10-1)&amp;"E+00"))&lt;=J10-1),"0.","#")&amp;REPT("0",IF(J10-1-(FLOOR(LOG10(TEXT(ABS('Conversion Factors'!P3),"0."&amp;REPT("0",J10-1)&amp;"E+00")),1))&gt;0,J10-1-(FLOOR(LOG10(TEXT(ABS('Conversion Factors'!P3),"0."&amp;REPT("0",J10-1)&amp;"E+00")),1)),0)))))))</f>
        <v>0.021</v>
      </c>
      <c r="I10" s="4" t="s">
        <v>75</v>
      </c>
      <c r="J10" s="5">
        <v>2</v>
      </c>
      <c r="K10" s="43"/>
    </row>
    <row r="11" spans="2:11" s="7" customFormat="1" ht="24">
      <c r="B11" s="37"/>
      <c r="C11" s="146" t="str">
        <f>"Parameters selected: "&amp;IF(D4="ISO (1055.06 J)","Btu = 1055.06 J","Btu -  1055 J")&amp;", "&amp;IF(D5="BP (3 d.p.)","Volume / Mass CV = BP","Volume / Mass CV = QP")&amp;IF('Conversion Factors'!C40=TRUE,IF(E6="Btu/ft³",", Calorific value = "&amp;D6&amp;" Btu/ft³",", Calorific value = "&amp;D6&amp;" kWh/m³"),)</f>
        <v>Parameters selected: Btu = 1055.06 J, Volume / Mass CV = BP</v>
      </c>
      <c r="D11" s="146"/>
      <c r="E11" s="146"/>
      <c r="F11" s="146"/>
      <c r="G11" s="146"/>
      <c r="H11" s="146"/>
      <c r="I11" s="146"/>
      <c r="J11" s="146"/>
      <c r="K11" s="44"/>
    </row>
    <row r="12" spans="2:11" s="7" customFormat="1" ht="26" customHeight="1">
      <c r="B12" s="37"/>
      <c r="C12" s="135" t="str">
        <f>IF('Conversion Factors'!C40=FALSE,"","OWN CALORIFIC VALUE BEING USED")</f>
        <v/>
      </c>
      <c r="D12" s="135"/>
      <c r="E12" s="135"/>
      <c r="F12" s="135"/>
      <c r="G12" s="135"/>
      <c r="H12" s="135"/>
      <c r="I12" s="135"/>
      <c r="J12" s="135"/>
      <c r="K12" s="41"/>
    </row>
    <row r="13" spans="2:11" s="7" customFormat="1" ht="20" customHeight="1">
      <c r="B13" s="45"/>
      <c r="C13" s="46"/>
      <c r="D13" s="46"/>
      <c r="E13" s="46"/>
      <c r="F13" s="46"/>
      <c r="G13" s="35"/>
      <c r="H13" s="47"/>
      <c r="I13" s="35"/>
      <c r="J13" s="46"/>
      <c r="K13" s="48"/>
    </row>
    <row r="14" spans="2:11" ht="100" customHeight="1">
      <c r="C14" s="22"/>
    </row>
  </sheetData>
  <sheetProtection algorithmName="SHA-512" hashValue="g8OO2e8zWbD2m3+UwDNTKcfD7Om/ST2doeLJvqFyo+4K1U654+x8FiZj2tkn7GUO4db90M2kaeSvJX1IsAhpIg==" saltValue="efqn3qxmWbmxy2KxMBfV5w==" spinCount="100000" sheet="1" objects="1" scenarios="1"/>
  <mergeCells count="9">
    <mergeCell ref="C3:J3"/>
    <mergeCell ref="C9:E9"/>
    <mergeCell ref="C8:F8"/>
    <mergeCell ref="C11:J11"/>
    <mergeCell ref="C12:J12"/>
    <mergeCell ref="C10:E10"/>
    <mergeCell ref="D5:E5"/>
    <mergeCell ref="H8:J8"/>
    <mergeCell ref="D4:E4"/>
  </mergeCells>
  <dataValidations count="2">
    <dataValidation errorStyle="warning" operator="greaterThan" allowBlank="1" showInputMessage="1" showErrorMessage="1" errorTitle="ERROR" error="Must be a number" sqref="H10" xr:uid="{21664556-8B2C-444C-A4CF-59EA0BC46702}"/>
    <dataValidation type="list" allowBlank="1" showInputMessage="1" showErrorMessage="1" sqref="J10" xr:uid="{F525B38B-E491-2E4B-9D91-5E45AFB37B19}">
      <formula1>"1,2,3,4,5,6,7,8,9"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3" name="Check Box 18">
              <controlPr defaultSize="0" autoFill="0" autoLine="0" autoPict="0" altText="Custom Calorific Value">
                <anchor moveWithCells="1">
                  <from>
                    <xdr:col>7</xdr:col>
                    <xdr:colOff>2298700</xdr:colOff>
                    <xdr:row>4</xdr:row>
                    <xdr:rowOff>101600</xdr:rowOff>
                  </from>
                  <to>
                    <xdr:col>8</xdr:col>
                    <xdr:colOff>2362200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E28C8F5-BA61-EC4D-A638-08626F9D4C99}">
          <x14:formula1>
            <xm:f>'Conversion Factors'!$B$3:$B$35</xm:f>
          </x14:formula1>
          <xm:sqref>F10 I10</xm:sqref>
        </x14:dataValidation>
        <x14:dataValidation type="list" allowBlank="1" showInputMessage="1" showErrorMessage="1" xr:uid="{63140F5B-CAF3-0F46-87DD-34FF9486FDBD}">
          <x14:formula1>
            <xm:f>'Conversion Factors'!$B$43:$B$44</xm:f>
          </x14:formula1>
          <xm:sqref>D4</xm:sqref>
        </x14:dataValidation>
        <x14:dataValidation type="list" allowBlank="1" showInputMessage="1" showErrorMessage="1" xr:uid="{BB0D3322-FA4F-F84D-84C1-8B6152F9F4A5}">
          <x14:formula1>
            <xm:f>'Conversion Factors'!$B$45:$B$46</xm:f>
          </x14:formula1>
          <xm:sqref>D5</xm:sqref>
        </x14:dataValidation>
        <x14:dataValidation type="list" allowBlank="1" showInputMessage="1" showErrorMessage="1" xr:uid="{28A52266-0ADA-3342-8CEF-557CC0FBC97C}">
          <x14:formula1>
            <xm:f>'Conversion Factors'!$B$47:$B$48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C6D9-F92C-2A4C-B0C1-B7CB221C1153}">
  <sheetPr>
    <tabColor rgb="FFFF0000"/>
  </sheetPr>
  <dimension ref="B1:AO53"/>
  <sheetViews>
    <sheetView tabSelected="1" topLeftCell="A16" zoomScale="177" zoomScaleNormal="177" workbookViewId="0">
      <selection activeCell="D35" sqref="D35"/>
    </sheetView>
  </sheetViews>
  <sheetFormatPr baseColWidth="10" defaultRowHeight="16"/>
  <cols>
    <col min="1" max="1" width="16.6640625" style="13" customWidth="1"/>
    <col min="2" max="2" width="32.1640625" style="13" customWidth="1"/>
    <col min="3" max="3" width="10.1640625" style="13" customWidth="1"/>
    <col min="4" max="4" width="21.1640625" style="13" bestFit="1" customWidth="1"/>
    <col min="5" max="5" width="8.6640625" style="13" hidden="1" customWidth="1"/>
    <col min="6" max="6" width="19.6640625" style="13" bestFit="1" customWidth="1"/>
    <col min="7" max="7" width="16.6640625" style="13" customWidth="1"/>
    <col min="8" max="8" width="10.83203125" style="13" hidden="1" customWidth="1"/>
    <col min="9" max="9" width="22.83203125" style="13" hidden="1" customWidth="1"/>
    <col min="10" max="10" width="10.83203125" style="13" hidden="1" customWidth="1"/>
    <col min="11" max="11" width="2.1640625" style="13" hidden="1" customWidth="1"/>
    <col min="12" max="13" width="10.83203125" style="13" hidden="1" customWidth="1"/>
    <col min="14" max="14" width="2.1640625" style="13" hidden="1" customWidth="1"/>
    <col min="15" max="16" width="10.83203125" style="13" hidden="1" customWidth="1"/>
    <col min="17" max="18" width="18.1640625" style="14" hidden="1" customWidth="1"/>
    <col min="19" max="19" width="10.83203125" style="13" hidden="1" customWidth="1"/>
    <col min="20" max="20" width="33.5" style="13" hidden="1" customWidth="1"/>
    <col min="21" max="21" width="17" style="13" hidden="1" customWidth="1"/>
    <col min="22" max="22" width="10.83203125" style="14" hidden="1" customWidth="1"/>
    <col min="23" max="23" width="10.83203125" style="13" hidden="1" customWidth="1"/>
    <col min="24" max="24" width="255.83203125" style="13" hidden="1" customWidth="1"/>
    <col min="25" max="25" width="14" style="12" hidden="1" customWidth="1"/>
    <col min="26" max="26" width="8" style="13" hidden="1" customWidth="1"/>
    <col min="27" max="29" width="10.83203125" style="13" hidden="1" customWidth="1"/>
    <col min="30" max="30" width="17.6640625" style="13" hidden="1" customWidth="1"/>
    <col min="31" max="31" width="15" style="13" hidden="1" customWidth="1"/>
    <col min="32" max="32" width="24.6640625" style="13" hidden="1" customWidth="1"/>
    <col min="33" max="33" width="17" style="13" hidden="1" customWidth="1"/>
    <col min="34" max="34" width="15.5" style="13" hidden="1" customWidth="1"/>
    <col min="35" max="35" width="12.1640625" style="13" hidden="1" customWidth="1"/>
    <col min="36" max="36" width="10.83203125" style="13" hidden="1" customWidth="1"/>
    <col min="37" max="37" width="23.33203125" style="13" hidden="1" customWidth="1"/>
    <col min="38" max="38" width="10.83203125" style="13" hidden="1" customWidth="1"/>
    <col min="39" max="39" width="18" style="13" hidden="1" customWidth="1"/>
    <col min="40" max="41" width="10.83203125" style="13" hidden="1" customWidth="1"/>
    <col min="42" max="16384" width="10.83203125" style="13"/>
  </cols>
  <sheetData>
    <row r="1" spans="2:41" ht="99" customHeight="1" thickBot="1"/>
    <row r="2" spans="2:41">
      <c r="B2" s="53" t="s">
        <v>115</v>
      </c>
      <c r="C2" s="54" t="s">
        <v>116</v>
      </c>
      <c r="D2" s="67" t="s">
        <v>110</v>
      </c>
      <c r="E2" s="55" t="s">
        <v>57</v>
      </c>
      <c r="F2" s="56" t="s">
        <v>117</v>
      </c>
      <c r="H2" s="153" t="s">
        <v>42</v>
      </c>
      <c r="I2" s="152"/>
      <c r="J2" s="115" t="s">
        <v>49</v>
      </c>
      <c r="K2" s="111" t="s">
        <v>43</v>
      </c>
      <c r="L2" s="152" t="s">
        <v>58</v>
      </c>
      <c r="M2" s="152"/>
      <c r="N2" s="111" t="s">
        <v>43</v>
      </c>
      <c r="O2" s="115" t="s">
        <v>49</v>
      </c>
      <c r="P2" s="152" t="s">
        <v>50</v>
      </c>
      <c r="Q2" s="154"/>
      <c r="R2" s="13"/>
      <c r="Y2" s="13"/>
      <c r="Z2" s="7"/>
      <c r="AA2" s="7"/>
      <c r="AB2" s="7"/>
      <c r="AC2" s="7"/>
      <c r="AD2" s="7"/>
    </row>
    <row r="3" spans="2:41">
      <c r="B3" s="57" t="s">
        <v>38</v>
      </c>
      <c r="C3" s="50" t="s">
        <v>39</v>
      </c>
      <c r="D3" s="63">
        <f>1</f>
        <v>1</v>
      </c>
      <c r="E3" s="58">
        <f>'Conversion Factors'!$L$3*'Conversion Factors'!D3</f>
        <v>1019381642512077.5</v>
      </c>
      <c r="F3" s="59" t="str">
        <f>IF(E3&gt;1000000,IF('Energy Convertor'!J$10=1,TEXT(E3,"0"&amp;REPT("0",('Energy Convertor'!J$10-1))&amp;"E+0"),TEXT(E3,"0"&amp;"."&amp;REPT("0",('Energy Convertor'!J10-1))&amp;"E+0")),IF(E3&lt;0.000001,IF('Energy Convertor'!J10=1,TEXT(E3,"0"&amp;REPT("0",('Energy Convertor'!J10-1))&amp;"E-0"),TEXT(E3,"0"&amp;"."&amp;REPT("0",('Energy Convertor'!J10-1))&amp;"E-0")),TEXT(IF(E3&lt;0,"-","")&amp;LEFT(TEXT(ABS(E3),"0."&amp;REPT("0",'Energy Convertor'!J$10-1)&amp;"E+00"),'Energy Convertor'!J$10+1)*10^FLOOR(LOG10(TEXT(ABS(E3),"0."&amp;REPT("0",'Energy Convertor'!J$10-1)&amp;"E+00")),1),(""&amp;(IF(OR(AND(FLOOR(LOG10(TEXT(ABS(E3),"0."&amp;REPT("0",'Energy Convertor'!J$10-1)&amp;"E+00")),1)+1='Energy Convertor'!J$10,RIGHT(LEFT(TEXT(ABS(E3),"0."&amp;REPT("0",'Energy Convertor'!J$10-1)&amp;"E+00"),'Energy Convertor'!J$10+1)*10^FLOOR(LOG10(TEXT(ABS(E3),"0."&amp;REPT("0",'Energy Convertor'!J$10-1)&amp;"E+00")),1),1)="0"),LOG10(TEXT(ABS(E3),"0."&amp;REPT("0",'Energy Convertor'!J$10-1)&amp;"E+00"))&lt;='Energy Convertor'!J$10-1),"0.","#")&amp;REPT("0",IF('Energy Convertor'!J$10-1-(FLOOR(LOG10(TEXT(ABS(E3),"0."&amp;REPT("0",'Energy Convertor'!J$10-1)&amp;"E+00")),1))&gt;0,'Energy Convertor'!J$10-1-(FLOOR(LOG10(TEXT(ABS(E3),"0."&amp;REPT("0",'Energy Convertor'!J$10-1)&amp;"E+00")),1)),0)))))))</f>
        <v>1.0E+15</v>
      </c>
      <c r="H3" s="116">
        <f>'Energy Convertor'!C10</f>
        <v>1</v>
      </c>
      <c r="I3" s="116" t="str">
        <f>'Energy Convertor'!F10</f>
        <v>billion cubic feet NG</v>
      </c>
      <c r="J3" s="112">
        <f>IF(I3="joule",D3,IF(I3="kilojoule",D4,IF(I3="megajoule",D5,IF(I3="gigajoule",D6,IF(I3="petajoule",D7,IF(I3="kilocalorie",D8,IF(I3="gigacalorie",D9,IF(I3="petacalorie",D10,IF(I3="kilowatt/hours",D11,IF(I3="megawatt/hours",D12,IF(I3="gigawatt/hours",D13,IF(I3="terawatt/hours",D14,IF(I3="British thermal units",D15,IF(I3="therms",D16,IF(I3="decatherms",D17,IF(I3="million therms",D18,IF(I3="cubic meter NG",D19,IF(I3="thousand cubic meters  NG",D20,IF(I3="million cubic meters NG",D21,IF(I3="billion cubic meters NG",D22,IF(I3="cubic foot NG",D23,IF(I3="thousand cubic feet NG",D24,IF(I3="million cubic feet NG",D25,IF(I3="billion cubic feet NG",D26,IF(I3="trillion cubic feet NG",D27,IF(I3="barrel oil equivalent",D28,IF(I3="million barrels oil equivalent",D29,IF(I3="tonne oil equivalent",D30,IF(I3="million tonnes oil equivalent",D31,IF(I3="tonne hard coal equivalent",D32,IF(I3="million tonnes hard coal equivalent",D33,IF(I3="tonne LNG",D34,IF(I3="million tonnes LNG",D35)))))))))))))))))))))))))))))))))</f>
        <v>9.8098686330635209E-16</v>
      </c>
      <c r="K3" s="113" t="s">
        <v>43</v>
      </c>
      <c r="L3" s="114">
        <f>H3/J3</f>
        <v>1019381642512077.5</v>
      </c>
      <c r="M3" s="114" t="s">
        <v>38</v>
      </c>
      <c r="N3" s="113" t="s">
        <v>43</v>
      </c>
      <c r="O3" s="113">
        <f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equivalent",D28,IF(Q3="million barrels oil equivalent",D29,IF(Q3="tonne oil equivalent",D30,IF(Q3="million tonnes oil equivalent",D31,IF(Q3="tonne hard coal equivalent",D32,IF(Q3="million tonnes hard coal equivalent",D33,IF(Q3="tonne LNG",D34,IF(Q3="million tonnes LNG",D35)))))))))))))))))))))))))))))))))</f>
        <v>2.1000000000000002E-17</v>
      </c>
      <c r="P3" s="114">
        <f>L3*O3</f>
        <v>2.1407014492753628E-2</v>
      </c>
      <c r="Q3" s="117" t="str">
        <f>'Energy Convertor'!I10</f>
        <v>million tonnes LNG</v>
      </c>
      <c r="R3" s="25"/>
      <c r="S3" s="15" t="s">
        <v>240</v>
      </c>
      <c r="T3" s="13" t="str">
        <f t="shared" ref="T3:T35" si="0">B3</f>
        <v>joule</v>
      </c>
      <c r="U3" s="15" t="s">
        <v>51</v>
      </c>
      <c r="V3" s="14" t="s">
        <v>207</v>
      </c>
      <c r="W3" s="15" t="s">
        <v>52</v>
      </c>
      <c r="X3" s="13" t="str">
        <f>S3&amp;T3&amp;U3&amp;V3&amp;W3</f>
        <v>IF(Q3="joule",D3,</v>
      </c>
      <c r="Y3" s="13"/>
      <c r="Z3" s="165" t="s">
        <v>95</v>
      </c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7"/>
    </row>
    <row r="4" spans="2:41">
      <c r="B4" s="57" t="s">
        <v>11</v>
      </c>
      <c r="C4" s="50" t="s">
        <v>12</v>
      </c>
      <c r="D4" s="64">
        <f>1/1000</f>
        <v>1E-3</v>
      </c>
      <c r="E4" s="58">
        <f>'Conversion Factors'!$L$3*'Conversion Factors'!D4</f>
        <v>1019381642512.0775</v>
      </c>
      <c r="F4" s="59" t="str">
        <f>IF(E4&gt;1000000,IF('Energy Convertor'!J$10=1,TEXT(E4,"0"&amp;REPT("0",('Energy Convertor'!J$10-1))&amp;"E+0"),TEXT(E4,"0"&amp;"."&amp;REPT("0",('Energy Convertor'!J$10-1))&amp;"E+0")),IF(E4&lt;0.000001,IF('Energy Convertor'!J$10=1,TEXT(E4,"0"&amp;REPT("0",('Energy Convertor'!J$10-1))&amp;"E-0"),TEXT(E4,"0"&amp;"."&amp;REPT("0",('Energy Convertor'!J$10-1))&amp;"E-0")),TEXT(IF(E4&lt;0,"-","")&amp;LEFT(TEXT(ABS(E4),"0."&amp;REPT("0",'Energy Convertor'!J$10-1)&amp;"E+00"),'Energy Convertor'!J$10+1)*10^FLOOR(LOG10(TEXT(ABS(E4),"0."&amp;REPT("0",'Energy Convertor'!J$10-1)&amp;"E+00")),1),(""&amp;(IF(OR(AND(FLOOR(LOG10(TEXT(ABS(E4),"0."&amp;REPT("0",'Energy Convertor'!J$10-1)&amp;"E+00")),1)+1='Energy Convertor'!J$10,RIGHT(LEFT(TEXT(ABS(E4),"0."&amp;REPT("0",'Energy Convertor'!J$10-1)&amp;"E+00"),'Energy Convertor'!J$10+1)*10^FLOOR(LOG10(TEXT(ABS(E4),"0."&amp;REPT("0",'Energy Convertor'!J$10-1)&amp;"E+00")),1),1)="0"),LOG10(TEXT(ABS(E4),"0."&amp;REPT("0",'Energy Convertor'!J$10-1)&amp;"E+00"))&lt;='Energy Convertor'!J$10-1),"0.","#")&amp;REPT("0",IF('Energy Convertor'!J$10-1-(FLOOR(LOG10(TEXT(ABS(E4),"0."&amp;REPT("0",'Energy Convertor'!J$10-1)&amp;"E+00")),1))&gt;0,'Energy Convertor'!J$10-1-(FLOOR(LOG10(TEXT(ABS(E4),"0."&amp;REPT("0",'Energy Convertor'!J$10-1)&amp;"E+00")),1)),0)))))))</f>
        <v>1.0E+12</v>
      </c>
      <c r="R4" s="26"/>
      <c r="S4" s="15" t="s">
        <v>240</v>
      </c>
      <c r="T4" s="13" t="str">
        <f t="shared" si="0"/>
        <v>kilojoule</v>
      </c>
      <c r="U4" s="15" t="s">
        <v>51</v>
      </c>
      <c r="V4" s="14" t="s">
        <v>208</v>
      </c>
      <c r="W4" s="15" t="s">
        <v>52</v>
      </c>
      <c r="X4" s="13" t="str">
        <f>X3&amp;S4&amp;T4&amp;U4&amp;V4&amp;W4</f>
        <v>IF(Q3="joule",D3,IF(Q3="kilojoule",D4,</v>
      </c>
      <c r="Y4" s="13"/>
      <c r="Z4" s="18"/>
      <c r="AA4" s="19"/>
      <c r="AB4" s="19"/>
      <c r="AC4" s="19"/>
      <c r="AD4" s="21" t="s">
        <v>86</v>
      </c>
      <c r="AE4" s="21" t="s">
        <v>97</v>
      </c>
      <c r="AF4" s="21" t="s">
        <v>87</v>
      </c>
      <c r="AG4" s="21" t="s">
        <v>88</v>
      </c>
      <c r="AH4" s="21" t="s">
        <v>89</v>
      </c>
      <c r="AI4" s="21" t="s">
        <v>98</v>
      </c>
      <c r="AJ4" s="158"/>
      <c r="AK4" s="21" t="s">
        <v>99</v>
      </c>
      <c r="AL4" s="158"/>
      <c r="AM4" s="158"/>
      <c r="AN4" s="158"/>
      <c r="AO4" s="159"/>
    </row>
    <row r="5" spans="2:41">
      <c r="B5" s="57" t="s">
        <v>40</v>
      </c>
      <c r="C5" s="50" t="s">
        <v>41</v>
      </c>
      <c r="D5" s="64">
        <f>1/1000000</f>
        <v>9.9999999999999995E-7</v>
      </c>
      <c r="E5" s="58">
        <f>'Conversion Factors'!$L$3*'Conversion Factors'!D5</f>
        <v>1019381642.5120775</v>
      </c>
      <c r="F5" s="59" t="str">
        <f>IF(E5&gt;1000000,IF('Energy Convertor'!J$10=1,TEXT(E5,"0"&amp;REPT("0",('Energy Convertor'!J$10-1))&amp;"E+0"),TEXT(E5,"0"&amp;"."&amp;REPT("0",('Energy Convertor'!J$10-1))&amp;"E+0")),IF(E5&lt;0.000001,IF('Energy Convertor'!J$10=1,TEXT(E5,"0"&amp;REPT("0",('Energy Convertor'!J$10-1))&amp;"E-0"),TEXT(E5,"0"&amp;"."&amp;REPT("0",('Energy Convertor'!J$10-1))&amp;"E-0")),TEXT(IF(E5&lt;0,"-","")&amp;LEFT(TEXT(ABS(E5),"0."&amp;REPT("0",'Energy Convertor'!J$10-1)&amp;"E+00"),'Energy Convertor'!J$10+1)*10^FLOOR(LOG10(TEXT(ABS(E5),"0."&amp;REPT("0",'Energy Convertor'!J$10-1)&amp;"E+00")),1),(""&amp;(IF(OR(AND(FLOOR(LOG10(TEXT(ABS(E5),"0."&amp;REPT("0",'Energy Convertor'!J$10-1)&amp;"E+00")),1)+1='Energy Convertor'!J$10,RIGHT(LEFT(TEXT(ABS(E5),"0."&amp;REPT("0",'Energy Convertor'!J$10-1)&amp;"E+00"),'Energy Convertor'!J$10+1)*10^FLOOR(LOG10(TEXT(ABS(E5),"0."&amp;REPT("0",'Energy Convertor'!J$10-1)&amp;"E+00")),1),1)="0"),LOG10(TEXT(ABS(E5),"0."&amp;REPT("0",'Energy Convertor'!J$10-1)&amp;"E+00"))&lt;='Energy Convertor'!J$10-1),"0.","#")&amp;REPT("0",IF('Energy Convertor'!J$10-1-(FLOOR(LOG10(TEXT(ABS(E5),"0."&amp;REPT("0",'Energy Convertor'!J$10-1)&amp;"E+00")),1))&gt;0,'Energy Convertor'!J$10-1-(FLOOR(LOG10(TEXT(ABS(E5),"0."&amp;REPT("0",'Energy Convertor'!J$10-1)&amp;"E+00")),1)),0)))))))</f>
        <v>1.0E+9</v>
      </c>
      <c r="Q5" s="13"/>
      <c r="R5" s="13"/>
      <c r="S5" s="15" t="s">
        <v>240</v>
      </c>
      <c r="T5" s="13" t="str">
        <f t="shared" si="0"/>
        <v>megajoule</v>
      </c>
      <c r="U5" s="15" t="s">
        <v>51</v>
      </c>
      <c r="V5" s="14" t="s">
        <v>209</v>
      </c>
      <c r="W5" s="15" t="s">
        <v>52</v>
      </c>
      <c r="X5" s="13" t="str">
        <f>X4&amp;S5&amp;T5&amp;U5&amp;V5&amp;W5</f>
        <v>IF(Q3="joule",D3,IF(Q3="kilojoule",D4,IF(Q3="megajoule",D5,</v>
      </c>
      <c r="Y5" s="13"/>
      <c r="Z5" s="18" t="s">
        <v>91</v>
      </c>
      <c r="AA5" s="19" t="b">
        <v>1</v>
      </c>
      <c r="AB5" s="19" t="s">
        <v>84</v>
      </c>
      <c r="AC5" s="19" t="s">
        <v>96</v>
      </c>
      <c r="AD5" s="169" t="e">
        <f>1/('Energy Convertor'!D6*3600000*1000000000)</f>
        <v>#DIV/0!</v>
      </c>
      <c r="AE5" s="158" t="e">
        <f>35.315*(1/(('Energy Convertor'!D6*3600000*1000000000)))</f>
        <v>#DIV/0!</v>
      </c>
      <c r="AF5" s="158" t="e">
        <f>0.86*(1/('Energy Convertor'!D6*3600000*1000000000))</f>
        <v>#DIV/0!</v>
      </c>
      <c r="AG5" s="158" t="e">
        <f>0.735*(1/(('Energy Convertor'!D6*3600000*1000000000)))</f>
        <v>#DIV/0!</v>
      </c>
      <c r="AH5" s="158" t="e">
        <f>5.883*(1/(('Energy Convertor'!D6*3600000*1000000000)))</f>
        <v>#DIV/0!</v>
      </c>
      <c r="AI5" s="172"/>
      <c r="AJ5" s="158"/>
      <c r="AK5" s="158" t="e">
        <f>(0.86/1.5)*(1/(('Energy Convertor'!D6*3600000*1000000000)))</f>
        <v>#DIV/0!</v>
      </c>
      <c r="AL5" s="158"/>
      <c r="AM5" s="19" t="s">
        <v>103</v>
      </c>
      <c r="AN5" s="17">
        <v>1040</v>
      </c>
      <c r="AO5" s="20" t="s">
        <v>104</v>
      </c>
    </row>
    <row r="6" spans="2:41">
      <c r="B6" s="57" t="s">
        <v>13</v>
      </c>
      <c r="C6" s="50" t="s">
        <v>14</v>
      </c>
      <c r="D6" s="64">
        <f>1/1000000000</f>
        <v>1.0000000000000001E-9</v>
      </c>
      <c r="E6" s="58">
        <f>'Conversion Factors'!$L$3*'Conversion Factors'!D6</f>
        <v>1019381.6425120776</v>
      </c>
      <c r="F6" s="59" t="str">
        <f>IF(E6&gt;1000000,IF('Energy Convertor'!J$10=1,TEXT(E6,"0"&amp;REPT("0",('Energy Convertor'!J$10-1))&amp;"E+0"),TEXT(E6,"0"&amp;"."&amp;REPT("0",('Energy Convertor'!J$10-1))&amp;"E+0")),IF(E6&lt;0.000001,IF('Energy Convertor'!J$10=1,TEXT(E6,"0"&amp;REPT("0",('Energy Convertor'!J$10-1))&amp;"E-0"),TEXT(E6,"0"&amp;"."&amp;REPT("0",('Energy Convertor'!J$10-1))&amp;"E-0")),TEXT(IF(E6&lt;0,"-","")&amp;LEFT(TEXT(ABS(E6),"0."&amp;REPT("0",'Energy Convertor'!J$10-1)&amp;"E+00"),'Energy Convertor'!J$10+1)*10^FLOOR(LOG10(TEXT(ABS(E6),"0."&amp;REPT("0",'Energy Convertor'!J$10-1)&amp;"E+00")),1),(""&amp;(IF(OR(AND(FLOOR(LOG10(TEXT(ABS(E6),"0."&amp;REPT("0",'Energy Convertor'!J$10-1)&amp;"E+00")),1)+1='Energy Convertor'!J$10,RIGHT(LEFT(TEXT(ABS(E6),"0."&amp;REPT("0",'Energy Convertor'!J$10-1)&amp;"E+00"),'Energy Convertor'!J$10+1)*10^FLOOR(LOG10(TEXT(ABS(E6),"0."&amp;REPT("0",'Energy Convertor'!J$10-1)&amp;"E+00")),1),1)="0"),LOG10(TEXT(ABS(E6),"0."&amp;REPT("0",'Energy Convertor'!J$10-1)&amp;"E+00"))&lt;='Energy Convertor'!J$10-1),"0.","#")&amp;REPT("0",IF('Energy Convertor'!J$10-1-(FLOOR(LOG10(TEXT(ABS(E6),"0."&amp;REPT("0",'Energy Convertor'!J$10-1)&amp;"E+00")),1))&gt;0,'Energy Convertor'!J$10-1-(FLOOR(LOG10(TEXT(ABS(E6),"0."&amp;REPT("0",'Energy Convertor'!J$10-1)&amp;"E+00")),1)),0)))))))</f>
        <v>1.0E+6</v>
      </c>
      <c r="Q6" s="13"/>
      <c r="R6" s="13"/>
      <c r="S6" s="15" t="s">
        <v>240</v>
      </c>
      <c r="T6" s="13" t="str">
        <f t="shared" si="0"/>
        <v>gigajoule</v>
      </c>
      <c r="U6" s="15" t="s">
        <v>51</v>
      </c>
      <c r="V6" s="14" t="s">
        <v>210</v>
      </c>
      <c r="W6" s="15" t="s">
        <v>52</v>
      </c>
      <c r="X6" s="13" t="str">
        <f>X5&amp;S6&amp;T6&amp;U6&amp;V6&amp;W6</f>
        <v>IF(Q3="joule",D3,IF(Q3="kilojoule",D4,IF(Q3="megajoule",D5,IF(Q3="gigajoule",D6,</v>
      </c>
      <c r="Y6" s="13"/>
      <c r="Z6" s="18" t="s">
        <v>91</v>
      </c>
      <c r="AA6" s="19" t="b">
        <v>1</v>
      </c>
      <c r="AB6" s="19" t="s">
        <v>84</v>
      </c>
      <c r="AC6" s="19" t="s">
        <v>94</v>
      </c>
      <c r="AD6" s="169"/>
      <c r="AE6" s="158"/>
      <c r="AF6" s="158"/>
      <c r="AG6" s="158"/>
      <c r="AH6" s="158"/>
      <c r="AI6" s="172"/>
      <c r="AJ6" s="158"/>
      <c r="AK6" s="158"/>
      <c r="AL6" s="158"/>
      <c r="AM6" s="19" t="s">
        <v>103</v>
      </c>
      <c r="AN6" s="19">
        <f>AN5*1055</f>
        <v>1097200</v>
      </c>
      <c r="AO6" s="20" t="s">
        <v>39</v>
      </c>
    </row>
    <row r="7" spans="2:41">
      <c r="B7" s="57" t="s">
        <v>15</v>
      </c>
      <c r="C7" s="50" t="s">
        <v>16</v>
      </c>
      <c r="D7" s="64">
        <f>1/1000000000000000</f>
        <v>1.0000000000000001E-15</v>
      </c>
      <c r="E7" s="58">
        <f>'Conversion Factors'!$L$3*'Conversion Factors'!D7</f>
        <v>1.0193816425120776</v>
      </c>
      <c r="F7" s="59" t="str">
        <f>IF(E7&gt;1000000,IF('Energy Convertor'!J$10=1,TEXT(E7,"0"&amp;REPT("0",('Energy Convertor'!J$10-1))&amp;"E+0"),TEXT(E7,"0"&amp;"."&amp;REPT("0",('Energy Convertor'!J$10-1))&amp;"E+0")),IF(E7&lt;0.000001,IF('Energy Convertor'!J$10=1,TEXT(E7,"0"&amp;REPT("0",('Energy Convertor'!J$10-1))&amp;"E-0"),TEXT(E7,"0"&amp;"."&amp;REPT("0",('Energy Convertor'!J$10-1))&amp;"E-0")),TEXT(IF(E7&lt;0,"-","")&amp;LEFT(TEXT(ABS(E7),"0."&amp;REPT("0",'Energy Convertor'!J$10-1)&amp;"E+00"),'Energy Convertor'!J$10+1)*10^FLOOR(LOG10(TEXT(ABS(E7),"0."&amp;REPT("0",'Energy Convertor'!J$10-1)&amp;"E+00")),1),(""&amp;(IF(OR(AND(FLOOR(LOG10(TEXT(ABS(E7),"0."&amp;REPT("0",'Energy Convertor'!J$10-1)&amp;"E+00")),1)+1='Energy Convertor'!J$10,RIGHT(LEFT(TEXT(ABS(E7),"0."&amp;REPT("0",'Energy Convertor'!J$10-1)&amp;"E+00"),'Energy Convertor'!J$10+1)*10^FLOOR(LOG10(TEXT(ABS(E7),"0."&amp;REPT("0",'Energy Convertor'!J$10-1)&amp;"E+00")),1),1)="0"),LOG10(TEXT(ABS(E7),"0."&amp;REPT("0",'Energy Convertor'!J$10-1)&amp;"E+00"))&lt;='Energy Convertor'!J$10-1),"0.","#")&amp;REPT("0",IF('Energy Convertor'!J$10-1-(FLOOR(LOG10(TEXT(ABS(E7),"0."&amp;REPT("0",'Energy Convertor'!J$10-1)&amp;"E+00")),1))&gt;0,'Energy Convertor'!J$10-1-(FLOOR(LOG10(TEXT(ABS(E7),"0."&amp;REPT("0",'Energy Convertor'!J$10-1)&amp;"E+00")),1)),0)))))))</f>
        <v>1.0</v>
      </c>
      <c r="Q7" s="13"/>
      <c r="R7" s="13"/>
      <c r="S7" s="15" t="s">
        <v>240</v>
      </c>
      <c r="T7" s="13" t="str">
        <f t="shared" si="0"/>
        <v>petajoule</v>
      </c>
      <c r="U7" s="15" t="s">
        <v>51</v>
      </c>
      <c r="V7" s="14" t="s">
        <v>211</v>
      </c>
      <c r="W7" s="15" t="s">
        <v>52</v>
      </c>
      <c r="X7" s="13" t="str">
        <f t="shared" ref="X7:X35" si="1">X6&amp;S7&amp;T7&amp;U7&amp;V7&amp;W7</f>
        <v>IF(Q3="joule",D3,IF(Q3="kilojoule",D4,IF(Q3="megajoule",D5,IF(Q3="gigajoule",D6,IF(Q3="petajoule",D7,</v>
      </c>
      <c r="Y7" s="13"/>
      <c r="Z7" s="18" t="s">
        <v>91</v>
      </c>
      <c r="AA7" s="19" t="b">
        <v>1</v>
      </c>
      <c r="AB7" s="19" t="s">
        <v>85</v>
      </c>
      <c r="AC7" s="19" t="s">
        <v>96</v>
      </c>
      <c r="AD7" s="169"/>
      <c r="AE7" s="158" t="e">
        <f>35.3*(1/(('Energy Convertor'!D6*3600000*1000000000)))</f>
        <v>#DIV/0!</v>
      </c>
      <c r="AF7" s="158" t="e">
        <f>0.9*(1/(('Energy Convertor'!D6*3600000*1000000000)))</f>
        <v>#DIV/0!</v>
      </c>
      <c r="AG7" s="158" t="e">
        <f>0.74*(1/(('Energy Convertor'!D6*3600000*1000000000)))</f>
        <v>#DIV/0!</v>
      </c>
      <c r="AH7" s="158" t="e">
        <f>6.6*(1/(('Energy Convertor'!D6*3600000*1000000000)))</f>
        <v>#DIV/0!</v>
      </c>
      <c r="AI7" s="172"/>
      <c r="AJ7" s="158"/>
      <c r="AK7" s="158" t="e">
        <f>(0.9/1.5)*(1/(('Energy Convertor'!D6*3600000*1000000000)))</f>
        <v>#DIV/0!</v>
      </c>
      <c r="AL7" s="158"/>
      <c r="AM7" s="19" t="s">
        <v>105</v>
      </c>
      <c r="AN7" s="19"/>
      <c r="AO7" s="20"/>
    </row>
    <row r="8" spans="2:41">
      <c r="B8" s="57" t="s">
        <v>17</v>
      </c>
      <c r="C8" s="50" t="s">
        <v>18</v>
      </c>
      <c r="D8" s="64">
        <f>1/4184</f>
        <v>2.390057361376673E-4</v>
      </c>
      <c r="E8" s="58">
        <f>'Conversion Factors'!$L$3*'Conversion Factors'!D8</f>
        <v>243638059873.82349</v>
      </c>
      <c r="F8" s="59" t="str">
        <f>IF(E8&gt;1000000,IF('Energy Convertor'!J$10=1,TEXT(E8,"0"&amp;REPT("0",('Energy Convertor'!J$10-1))&amp;"E+0"),TEXT(E8,"0"&amp;"."&amp;REPT("0",('Energy Convertor'!J$10-1))&amp;"E+0")),IF(E8&lt;0.000001,IF('Energy Convertor'!J$10=1,TEXT(E8,"0"&amp;REPT("0",('Energy Convertor'!J$10-1))&amp;"E-0"),TEXT(E8,"0"&amp;"."&amp;REPT("0",('Energy Convertor'!J$10-1))&amp;"E-0")),TEXT(IF(E8&lt;0,"-","")&amp;LEFT(TEXT(ABS(E8),"0."&amp;REPT("0",'Energy Convertor'!J$10-1)&amp;"E+00"),'Energy Convertor'!J$10+1)*10^FLOOR(LOG10(TEXT(ABS(E8),"0."&amp;REPT("0",'Energy Convertor'!J$10-1)&amp;"E+00")),1),(""&amp;(IF(OR(AND(FLOOR(LOG10(TEXT(ABS(E8),"0."&amp;REPT("0",'Energy Convertor'!J$10-1)&amp;"E+00")),1)+1='Energy Convertor'!J$10,RIGHT(LEFT(TEXT(ABS(E8),"0."&amp;REPT("0",'Energy Convertor'!J$10-1)&amp;"E+00"),'Energy Convertor'!J$10+1)*10^FLOOR(LOG10(TEXT(ABS(E8),"0."&amp;REPT("0",'Energy Convertor'!J$10-1)&amp;"E+00")),1),1)="0"),LOG10(TEXT(ABS(E8),"0."&amp;REPT("0",'Energy Convertor'!J$10-1)&amp;"E+00"))&lt;='Energy Convertor'!J$10-1),"0.","#")&amp;REPT("0",IF('Energy Convertor'!J$10-1-(FLOOR(LOG10(TEXT(ABS(E8),"0."&amp;REPT("0",'Energy Convertor'!J$10-1)&amp;"E+00")),1))&gt;0,'Energy Convertor'!J$10-1-(FLOOR(LOG10(TEXT(ABS(E8),"0."&amp;REPT("0",'Energy Convertor'!J$10-1)&amp;"E+00")),1)),0)))))))</f>
        <v>2.4E+11</v>
      </c>
      <c r="Q8" s="13"/>
      <c r="R8" s="13"/>
      <c r="S8" s="15" t="s">
        <v>240</v>
      </c>
      <c r="T8" s="13" t="str">
        <f t="shared" si="0"/>
        <v>kilocalorie</v>
      </c>
      <c r="U8" s="15" t="s">
        <v>51</v>
      </c>
      <c r="V8" s="14" t="s">
        <v>212</v>
      </c>
      <c r="W8" s="15" t="s">
        <v>52</v>
      </c>
      <c r="X8" s="13" t="str">
        <f t="shared" si="1"/>
        <v>IF(Q3="joule",D3,IF(Q3="kilojoule",D4,IF(Q3="megajoule",D5,IF(Q3="gigajoule",D6,IF(Q3="petajoule",D7,IF(Q3="kilocalorie",D8,</v>
      </c>
      <c r="Y8" s="13"/>
      <c r="Z8" s="18" t="s">
        <v>91</v>
      </c>
      <c r="AA8" s="19" t="b">
        <v>1</v>
      </c>
      <c r="AB8" s="19" t="s">
        <v>85</v>
      </c>
      <c r="AC8" s="19" t="s">
        <v>94</v>
      </c>
      <c r="AD8" s="169"/>
      <c r="AE8" s="158"/>
      <c r="AF8" s="158"/>
      <c r="AG8" s="158"/>
      <c r="AH8" s="158"/>
      <c r="AI8" s="172"/>
      <c r="AJ8" s="158"/>
      <c r="AK8" s="158"/>
      <c r="AL8" s="158"/>
      <c r="AM8" s="158"/>
      <c r="AN8" s="158"/>
      <c r="AO8" s="159"/>
    </row>
    <row r="9" spans="2:41">
      <c r="B9" s="57" t="s">
        <v>19</v>
      </c>
      <c r="C9" s="50" t="s">
        <v>20</v>
      </c>
      <c r="D9" s="64">
        <f>1/(4184*1000000)</f>
        <v>2.3900573613766731E-10</v>
      </c>
      <c r="E9" s="58">
        <f>'Conversion Factors'!$L$3*'Conversion Factors'!D9</f>
        <v>243638.05987382351</v>
      </c>
      <c r="F9" s="59" t="str">
        <f>IF(E9&gt;1000000,IF('Energy Convertor'!J$10=1,TEXT(E9,"0"&amp;REPT("0",('Energy Convertor'!J$10-1))&amp;"E+0"),TEXT(E9,"0"&amp;"."&amp;REPT("0",('Energy Convertor'!J$10-1))&amp;"E+0")),IF(E9&lt;0.000001,IF('Energy Convertor'!J$10=1,TEXT(E9,"0"&amp;REPT("0",('Energy Convertor'!J$10-1))&amp;"E-0"),TEXT(E9,"0"&amp;"."&amp;REPT("0",('Energy Convertor'!J$10-1))&amp;"E-0")),TEXT(IF(E9&lt;0,"-","")&amp;LEFT(TEXT(ABS(E9),"0."&amp;REPT("0",'Energy Convertor'!J$10-1)&amp;"E+00"),'Energy Convertor'!J$10+1)*10^FLOOR(LOG10(TEXT(ABS(E9),"0."&amp;REPT("0",'Energy Convertor'!J$10-1)&amp;"E+00")),1),(""&amp;(IF(OR(AND(FLOOR(LOG10(TEXT(ABS(E9),"0."&amp;REPT("0",'Energy Convertor'!J$10-1)&amp;"E+00")),1)+1='Energy Convertor'!J$10,RIGHT(LEFT(TEXT(ABS(E9),"0."&amp;REPT("0",'Energy Convertor'!J$10-1)&amp;"E+00"),'Energy Convertor'!J$10+1)*10^FLOOR(LOG10(TEXT(ABS(E9),"0."&amp;REPT("0",'Energy Convertor'!J$10-1)&amp;"E+00")),1),1)="0"),LOG10(TEXT(ABS(E9),"0."&amp;REPT("0",'Energy Convertor'!J$10-1)&amp;"E+00"))&lt;='Energy Convertor'!J$10-1),"0.","#")&amp;REPT("0",IF('Energy Convertor'!J$10-1-(FLOOR(LOG10(TEXT(ABS(E9),"0."&amp;REPT("0",'Energy Convertor'!J$10-1)&amp;"E+00")),1))&gt;0,'Energy Convertor'!J$10-1-(FLOOR(LOG10(TEXT(ABS(E9),"0."&amp;REPT("0",'Energy Convertor'!J$10-1)&amp;"E+00")),1)),0)))))))</f>
        <v>240000</v>
      </c>
      <c r="Q9" s="13"/>
      <c r="R9" s="13"/>
      <c r="S9" s="15" t="s">
        <v>240</v>
      </c>
      <c r="T9" s="13" t="str">
        <f t="shared" si="0"/>
        <v>gigacalorie</v>
      </c>
      <c r="U9" s="15" t="s">
        <v>51</v>
      </c>
      <c r="V9" s="14" t="s">
        <v>213</v>
      </c>
      <c r="W9" s="15" t="s">
        <v>52</v>
      </c>
      <c r="X9" s="13" t="str">
        <f t="shared" si="1"/>
        <v>IF(Q3="joule",D3,IF(Q3="kilojoule",D4,IF(Q3="megajoule",D5,IF(Q3="gigajoule",D6,IF(Q3="petajoule",D7,IF(Q3="kilocalorie",D8,IF(Q3="gigacalorie",D9,</v>
      </c>
      <c r="Y9" s="13"/>
      <c r="Z9" s="18" t="s">
        <v>92</v>
      </c>
      <c r="AA9" s="19" t="b">
        <v>1</v>
      </c>
      <c r="AB9" s="19" t="s">
        <v>84</v>
      </c>
      <c r="AC9" s="19" t="s">
        <v>96</v>
      </c>
      <c r="AD9" s="171" t="e">
        <f>0.028*(1/('Energy Convertor'!D6*IF('Energy Convertor'!D4="ISO (1055.06 J)",1055.06,1055)*1000000000))</f>
        <v>#DIV/0!</v>
      </c>
      <c r="AE9" s="170" t="e">
        <f>1/('Energy Convertor'!D6*IF('Energy Convertor'!D4="ISO (1055.06 J)",1055.06,1055)*1000000000)</f>
        <v>#DIV/0!</v>
      </c>
      <c r="AF9" s="158" t="e">
        <f>0.024*(1/('Energy Convertor'!D6*IF('Energy Convertor'!D4="ISO (1055.06 J)",1055.06,1055)*1000000000))</f>
        <v>#DIV/0!</v>
      </c>
      <c r="AG9" s="160" t="e">
        <f>0.021*(1/('Energy Convertor'!D6*IF('Energy Convertor'!D4="ISO (1055.06 J)",1055.06,1055)*1000000000))</f>
        <v>#DIV/0!</v>
      </c>
      <c r="AH9" s="158" t="e">
        <f>0.167*(1/('Energy Convertor'!D6*IF('Energy Convertor'!D4="ISO (1055.06 J)",1055.06,1055)*1000000000))</f>
        <v>#DIV/0!</v>
      </c>
      <c r="AI9" s="172"/>
      <c r="AJ9" s="158"/>
      <c r="AK9" s="158" t="e">
        <f>(0.024/1.5)*(1/('Energy Convertor'!D6*IF('Energy Convertor'!D4="ISO (1055.06 J)",1055.06,1055)*1000000000))</f>
        <v>#DIV/0!</v>
      </c>
      <c r="AL9" s="158"/>
      <c r="AM9" s="19" t="s">
        <v>100</v>
      </c>
      <c r="AN9" s="17">
        <v>10.76</v>
      </c>
      <c r="AO9" s="20" t="s">
        <v>1</v>
      </c>
    </row>
    <row r="10" spans="2:41">
      <c r="B10" s="57" t="s">
        <v>21</v>
      </c>
      <c r="C10" s="50" t="s">
        <v>22</v>
      </c>
      <c r="D10" s="64">
        <f>1/(4184*1000000000000)</f>
        <v>2.3900573613766728E-16</v>
      </c>
      <c r="E10" s="58">
        <f>'Conversion Factors'!$L$3*'Conversion Factors'!D10</f>
        <v>0.24363805987382348</v>
      </c>
      <c r="F10" s="59" t="str">
        <f>IF(E10&gt;1000000,IF('Energy Convertor'!J$10=1,TEXT(E10,"0"&amp;REPT("0",('Energy Convertor'!J$10-1))&amp;"E+0"),TEXT(E10,"0"&amp;"."&amp;REPT("0",('Energy Convertor'!J$10-1))&amp;"E+0")),IF(E10&lt;0.000001,IF('Energy Convertor'!J$10=1,TEXT(E10,"0"&amp;REPT("0",('Energy Convertor'!J$10-1))&amp;"E-0"),TEXT(E10,"0"&amp;"."&amp;REPT("0",('Energy Convertor'!J$10-1))&amp;"E-0")),TEXT(IF(E10&lt;0,"-","")&amp;LEFT(TEXT(ABS(E10),"0."&amp;REPT("0",'Energy Convertor'!J$10-1)&amp;"E+00"),'Energy Convertor'!J$10+1)*10^FLOOR(LOG10(TEXT(ABS(E10),"0."&amp;REPT("0",'Energy Convertor'!J$10-1)&amp;"E+00")),1),(""&amp;(IF(OR(AND(FLOOR(LOG10(TEXT(ABS(E10),"0."&amp;REPT("0",'Energy Convertor'!J$10-1)&amp;"E+00")),1)+1='Energy Convertor'!J$10,RIGHT(LEFT(TEXT(ABS(E10),"0."&amp;REPT("0",'Energy Convertor'!J$10-1)&amp;"E+00"),'Energy Convertor'!J$10+1)*10^FLOOR(LOG10(TEXT(ABS(E10),"0."&amp;REPT("0",'Energy Convertor'!J$10-1)&amp;"E+00")),1),1)="0"),LOG10(TEXT(ABS(E10),"0."&amp;REPT("0",'Energy Convertor'!J$10-1)&amp;"E+00"))&lt;='Energy Convertor'!J$10-1),"0.","#")&amp;REPT("0",IF('Energy Convertor'!J$10-1-(FLOOR(LOG10(TEXT(ABS(E10),"0."&amp;REPT("0",'Energy Convertor'!J$10-1)&amp;"E+00")),1))&gt;0,'Energy Convertor'!J$10-1-(FLOOR(LOG10(TEXT(ABS(E10),"0."&amp;REPT("0",'Energy Convertor'!J$10-1)&amp;"E+00")),1)),0)))))))</f>
        <v>0.24</v>
      </c>
      <c r="Q10" s="13"/>
      <c r="R10" s="13"/>
      <c r="S10" s="15" t="s">
        <v>240</v>
      </c>
      <c r="T10" s="13" t="str">
        <f t="shared" si="0"/>
        <v>petacalorie</v>
      </c>
      <c r="U10" s="15" t="s">
        <v>51</v>
      </c>
      <c r="V10" s="14" t="s">
        <v>214</v>
      </c>
      <c r="W10" s="15" t="s">
        <v>52</v>
      </c>
      <c r="X10" s="13" t="str">
        <f t="shared" si="1"/>
        <v>IF(Q3="joule",D3,IF(Q3="kilojoule",D4,IF(Q3="megajoule",D5,IF(Q3="gigajoule",D6,IF(Q3="petajoule",D7,IF(Q3="kilocalorie",D8,IF(Q3="gigacalorie",D9,IF(Q3="petacalorie",D10,</v>
      </c>
      <c r="Y10" s="13"/>
      <c r="Z10" s="18" t="s">
        <v>92</v>
      </c>
      <c r="AA10" s="19" t="b">
        <v>1</v>
      </c>
      <c r="AB10" s="19" t="s">
        <v>84</v>
      </c>
      <c r="AC10" s="19" t="s">
        <v>94</v>
      </c>
      <c r="AD10" s="171"/>
      <c r="AE10" s="170"/>
      <c r="AF10" s="158"/>
      <c r="AG10" s="160"/>
      <c r="AH10" s="158"/>
      <c r="AI10" s="172"/>
      <c r="AJ10" s="158"/>
      <c r="AK10" s="158"/>
      <c r="AL10" s="158"/>
      <c r="AM10" s="19" t="s">
        <v>100</v>
      </c>
      <c r="AN10" s="19">
        <f>10.76*3600000</f>
        <v>38736000</v>
      </c>
      <c r="AO10" s="20" t="s">
        <v>39</v>
      </c>
    </row>
    <row r="11" spans="2:41">
      <c r="B11" s="57" t="s">
        <v>0</v>
      </c>
      <c r="C11" s="50" t="s">
        <v>1</v>
      </c>
      <c r="D11" s="64">
        <f>1/3600000</f>
        <v>2.7777777777777776E-7</v>
      </c>
      <c r="E11" s="58">
        <f>'Conversion Factors'!$L$3*'Conversion Factors'!D11</f>
        <v>283161567.36446595</v>
      </c>
      <c r="F11" s="59" t="str">
        <f>IF(E11&gt;1000000,IF('Energy Convertor'!J$10=1,TEXT(E11,"0"&amp;REPT("0",('Energy Convertor'!J$10-1))&amp;"E+0"),TEXT(E11,"0"&amp;"."&amp;REPT("0",('Energy Convertor'!J$10-1))&amp;"E+0")),IF(E11&lt;0.000001,IF('Energy Convertor'!J$10=1,TEXT(E11,"0"&amp;REPT("0",('Energy Convertor'!J$10-1))&amp;"E-0"),TEXT(E11,"0"&amp;"."&amp;REPT("0",('Energy Convertor'!J$10-1))&amp;"E-0")),TEXT(IF(E11&lt;0,"-","")&amp;LEFT(TEXT(ABS(E11),"0."&amp;REPT("0",'Energy Convertor'!J$10-1)&amp;"E+00"),'Energy Convertor'!J$10+1)*10^FLOOR(LOG10(TEXT(ABS(E11),"0."&amp;REPT("0",'Energy Convertor'!J$10-1)&amp;"E+00")),1),(""&amp;(IF(OR(AND(FLOOR(LOG10(TEXT(ABS(E11),"0."&amp;REPT("0",'Energy Convertor'!J$10-1)&amp;"E+00")),1)+1='Energy Convertor'!J$10,RIGHT(LEFT(TEXT(ABS(E11),"0."&amp;REPT("0",'Energy Convertor'!J$10-1)&amp;"E+00"),'Energy Convertor'!J$10+1)*10^FLOOR(LOG10(TEXT(ABS(E11),"0."&amp;REPT("0",'Energy Convertor'!J$10-1)&amp;"E+00")),1),1)="0"),LOG10(TEXT(ABS(E11),"0."&amp;REPT("0",'Energy Convertor'!J$10-1)&amp;"E+00"))&lt;='Energy Convertor'!J$10-1),"0.","#")&amp;REPT("0",IF('Energy Convertor'!J$10-1-(FLOOR(LOG10(TEXT(ABS(E11),"0."&amp;REPT("0",'Energy Convertor'!J$10-1)&amp;"E+00")),1))&gt;0,'Energy Convertor'!J$10-1-(FLOOR(LOG10(TEXT(ABS(E11),"0."&amp;REPT("0",'Energy Convertor'!J$10-1)&amp;"E+00")),1)),0)))))))</f>
        <v>2.8E+8</v>
      </c>
      <c r="Q11" s="13"/>
      <c r="R11" s="13"/>
      <c r="S11" s="15" t="s">
        <v>240</v>
      </c>
      <c r="T11" s="13" t="str">
        <f t="shared" si="0"/>
        <v>kilowatt/hours</v>
      </c>
      <c r="U11" s="15" t="s">
        <v>51</v>
      </c>
      <c r="V11" s="14" t="s">
        <v>215</v>
      </c>
      <c r="W11" s="15" t="s">
        <v>52</v>
      </c>
      <c r="X11" s="13" t="str">
        <f t="shared" si="1"/>
        <v>IF(Q3="joule",D3,IF(Q3="kilojoule",D4,IF(Q3="megajoule",D5,IF(Q3="gigajoule",D6,IF(Q3="petajoule",D7,IF(Q3="kilocalorie",D8,IF(Q3="gigacalorie",D9,IF(Q3="petacalorie",D10,IF(Q3="kilowatt/hours",D11,</v>
      </c>
      <c r="Y11" s="13"/>
      <c r="Z11" s="18" t="s">
        <v>92</v>
      </c>
      <c r="AA11" s="19" t="b">
        <v>1</v>
      </c>
      <c r="AB11" s="19" t="s">
        <v>85</v>
      </c>
      <c r="AC11" s="19" t="s">
        <v>96</v>
      </c>
      <c r="AD11" s="171"/>
      <c r="AE11" s="170"/>
      <c r="AF11" s="158" t="e">
        <f>0.025*(1/('Energy Convertor'!D6*IF('Energy Convertor'!D4="ISO (1055.06 J)",1055.06,1055)*1000000000))</f>
        <v>#DIV/0!</v>
      </c>
      <c r="AG11" s="160"/>
      <c r="AH11" s="158" t="e">
        <f>0.19*(1/('Energy Convertor'!D6*IF('Energy Convertor'!D4="ISO (1055.06 J)",1055.06,1055)*1000000000))</f>
        <v>#DIV/0!</v>
      </c>
      <c r="AI11" s="172"/>
      <c r="AJ11" s="158"/>
      <c r="AK11" s="158" t="e">
        <f>(0.025/1.5)*(1/('Energy Convertor'!D6*IF('Energy Convertor'!D4="ISO (1055.06 J)",1055.06,1055)*1000000000))</f>
        <v>#DIV/0!</v>
      </c>
      <c r="AL11" s="158"/>
      <c r="AM11" s="19" t="s">
        <v>101</v>
      </c>
      <c r="AN11" s="19">
        <f>AN10*1000000000</f>
        <v>3.8736E+16</v>
      </c>
      <c r="AO11" s="20" t="s">
        <v>39</v>
      </c>
    </row>
    <row r="12" spans="2:41">
      <c r="B12" s="57" t="s">
        <v>2</v>
      </c>
      <c r="C12" s="50" t="s">
        <v>3</v>
      </c>
      <c r="D12" s="64">
        <f>1/3600000000</f>
        <v>2.7777777777777777E-10</v>
      </c>
      <c r="E12" s="58">
        <f>'Conversion Factors'!$L$3*'Conversion Factors'!D12</f>
        <v>283161.56736446597</v>
      </c>
      <c r="F12" s="59" t="str">
        <f>IF(E12&gt;1000000,IF('Energy Convertor'!J$10=1,TEXT(E12,"0"&amp;REPT("0",('Energy Convertor'!J$10-1))&amp;"E+0"),TEXT(E12,"0"&amp;"."&amp;REPT("0",('Energy Convertor'!J$10-1))&amp;"E+0")),IF(E12&lt;0.000001,IF('Energy Convertor'!J$10=1,TEXT(E12,"0"&amp;REPT("0",('Energy Convertor'!J$10-1))&amp;"E-0"),TEXT(E12,"0"&amp;"."&amp;REPT("0",('Energy Convertor'!J$10-1))&amp;"E-0")),TEXT(IF(E12&lt;0,"-","")&amp;LEFT(TEXT(ABS(E12),"0."&amp;REPT("0",'Energy Convertor'!J$10-1)&amp;"E+00"),'Energy Convertor'!J$10+1)*10^FLOOR(LOG10(TEXT(ABS(E12),"0."&amp;REPT("0",'Energy Convertor'!J$10-1)&amp;"E+00")),1),(""&amp;(IF(OR(AND(FLOOR(LOG10(TEXT(ABS(E12),"0."&amp;REPT("0",'Energy Convertor'!J$10-1)&amp;"E+00")),1)+1='Energy Convertor'!J$10,RIGHT(LEFT(TEXT(ABS(E12),"0."&amp;REPT("0",'Energy Convertor'!J$10-1)&amp;"E+00"),'Energy Convertor'!J$10+1)*10^FLOOR(LOG10(TEXT(ABS(E12),"0."&amp;REPT("0",'Energy Convertor'!J$10-1)&amp;"E+00")),1),1)="0"),LOG10(TEXT(ABS(E12),"0."&amp;REPT("0",'Energy Convertor'!J$10-1)&amp;"E+00"))&lt;='Energy Convertor'!J$10-1),"0.","#")&amp;REPT("0",IF('Energy Convertor'!J$10-1-(FLOOR(LOG10(TEXT(ABS(E12),"0."&amp;REPT("0",'Energy Convertor'!J$10-1)&amp;"E+00")),1))&gt;0,'Energy Convertor'!J$10-1-(FLOOR(LOG10(TEXT(ABS(E12),"0."&amp;REPT("0",'Energy Convertor'!J$10-1)&amp;"E+00")),1)),0)))))))</f>
        <v>280000</v>
      </c>
      <c r="Q12" s="13"/>
      <c r="R12" s="13"/>
      <c r="S12" s="15" t="s">
        <v>240</v>
      </c>
      <c r="T12" s="13" t="str">
        <f t="shared" si="0"/>
        <v>megawatt/hours</v>
      </c>
      <c r="U12" s="15" t="s">
        <v>51</v>
      </c>
      <c r="V12" s="14" t="s">
        <v>216</v>
      </c>
      <c r="W12" s="15" t="s">
        <v>52</v>
      </c>
      <c r="X12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</v>
      </c>
      <c r="Y12" s="13"/>
      <c r="Z12" s="18" t="s">
        <v>92</v>
      </c>
      <c r="AA12" s="19" t="b">
        <v>1</v>
      </c>
      <c r="AB12" s="19" t="s">
        <v>85</v>
      </c>
      <c r="AC12" s="19" t="s">
        <v>94</v>
      </c>
      <c r="AD12" s="171"/>
      <c r="AE12" s="170"/>
      <c r="AF12" s="158"/>
      <c r="AG12" s="160"/>
      <c r="AH12" s="158"/>
      <c r="AI12" s="172"/>
      <c r="AJ12" s="158"/>
      <c r="AK12" s="158"/>
      <c r="AL12" s="158"/>
      <c r="AM12" s="19"/>
      <c r="AN12" s="19">
        <f>1/AN11</f>
        <v>2.5815778603882692E-17</v>
      </c>
      <c r="AO12" s="20" t="s">
        <v>102</v>
      </c>
    </row>
    <row r="13" spans="2:41">
      <c r="B13" s="57" t="s">
        <v>4</v>
      </c>
      <c r="C13" s="50" t="s">
        <v>5</v>
      </c>
      <c r="D13" s="64">
        <f>1/3600000000000</f>
        <v>2.7777777777777779E-13</v>
      </c>
      <c r="E13" s="58">
        <f>'Conversion Factors'!$L$3*'Conversion Factors'!D13</f>
        <v>283.16156736446601</v>
      </c>
      <c r="F13" s="59" t="str">
        <f>IF(E13&gt;1000000,IF('Energy Convertor'!J$10=1,TEXT(E13,"0"&amp;REPT("0",('Energy Convertor'!J$10-1))&amp;"E+0"),TEXT(E13,"0"&amp;"."&amp;REPT("0",('Energy Convertor'!J$10-1))&amp;"E+0")),IF(E13&lt;0.000001,IF('Energy Convertor'!J$10=1,TEXT(E13,"0"&amp;REPT("0",('Energy Convertor'!J$10-1))&amp;"E-0"),TEXT(E13,"0"&amp;"."&amp;REPT("0",('Energy Convertor'!J$10-1))&amp;"E-0")),TEXT(IF(E13&lt;0,"-","")&amp;LEFT(TEXT(ABS(E13),"0."&amp;REPT("0",'Energy Convertor'!J$10-1)&amp;"E+00"),'Energy Convertor'!J$10+1)*10^FLOOR(LOG10(TEXT(ABS(E13),"0."&amp;REPT("0",'Energy Convertor'!J$10-1)&amp;"E+00")),1),(""&amp;(IF(OR(AND(FLOOR(LOG10(TEXT(ABS(E13),"0."&amp;REPT("0",'Energy Convertor'!J$10-1)&amp;"E+00")),1)+1='Energy Convertor'!J$10,RIGHT(LEFT(TEXT(ABS(E13),"0."&amp;REPT("0",'Energy Convertor'!J$10-1)&amp;"E+00"),'Energy Convertor'!J$10+1)*10^FLOOR(LOG10(TEXT(ABS(E13),"0."&amp;REPT("0",'Energy Convertor'!J$10-1)&amp;"E+00")),1),1)="0"),LOG10(TEXT(ABS(E13),"0."&amp;REPT("0",'Energy Convertor'!J$10-1)&amp;"E+00"))&lt;='Energy Convertor'!J$10-1),"0.","#")&amp;REPT("0",IF('Energy Convertor'!J$10-1-(FLOOR(LOG10(TEXT(ABS(E13),"0."&amp;REPT("0",'Energy Convertor'!J$10-1)&amp;"E+00")),1))&gt;0,'Energy Convertor'!J$10-1-(FLOOR(LOG10(TEXT(ABS(E13),"0."&amp;REPT("0",'Energy Convertor'!J$10-1)&amp;"E+00")),1)),0)))))))</f>
        <v>280</v>
      </c>
      <c r="Q13" s="13"/>
      <c r="R13" s="13"/>
      <c r="S13" s="15" t="s">
        <v>240</v>
      </c>
      <c r="T13" s="13" t="str">
        <f t="shared" si="0"/>
        <v>gigawatt/hours</v>
      </c>
      <c r="U13" s="15" t="s">
        <v>51</v>
      </c>
      <c r="V13" s="14" t="s">
        <v>217</v>
      </c>
      <c r="W13" s="15" t="s">
        <v>52</v>
      </c>
      <c r="X13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</v>
      </c>
      <c r="Y13" s="13"/>
      <c r="Z13" s="18" t="b">
        <v>0</v>
      </c>
      <c r="AA13" s="19" t="b">
        <v>0</v>
      </c>
      <c r="AB13" s="19" t="s">
        <v>84</v>
      </c>
      <c r="AC13" s="19" t="s">
        <v>96</v>
      </c>
      <c r="AD13" s="164">
        <f>(1/(IF('Energy Convertor'!D4="ISO (1055.06 J)",1055.06,1055))/1000000000000*0.029)</f>
        <v>2.7486588440467841E-17</v>
      </c>
      <c r="AE13" s="158">
        <f>((1/(IF('Energy Convertor'!D4="ISO (1055.06 J)",1055.06,1055))/1000000000000)*1.035)</f>
        <v>9.8098686330635209E-16</v>
      </c>
      <c r="AF13" s="160">
        <f>((1/(IF('Energy Convertor'!D4="ISO (1055.06 J)",1055.06,1055))/1000000000000)*0.025)</f>
        <v>2.3695334862472277E-17</v>
      </c>
      <c r="AG13" s="158">
        <f>((1/IF('Energy Convertor'!D4="ISO (1055.06 J)",1055.06,1055))/1000000000000)*0.022</f>
        <v>2.08518946789756E-17</v>
      </c>
      <c r="AH13" s="158">
        <f>((1/(IF('Energy Convertor'!D4="ISO (1055.06 J)",1055.06,1055))/1000000000000)*0.172)</f>
        <v>1.6302390385380924E-16</v>
      </c>
      <c r="AI13" s="160">
        <f>(1/(IF('Energy Convertor'!D4="ISO (1055.06 J)",1055.06,1055))/1000000000000)</f>
        <v>9.4781339449889099E-16</v>
      </c>
      <c r="AJ13" s="158"/>
      <c r="AK13" s="160">
        <f>((1/(IF('Energy Convertor'!D4="ISO (1055.06 J)",1055.06,1055))/1000000000000)*(0.025/1.5))</f>
        <v>1.5796889908314849E-17</v>
      </c>
      <c r="AL13" s="158"/>
      <c r="AM13" s="158"/>
      <c r="AN13" s="158"/>
      <c r="AO13" s="159"/>
    </row>
    <row r="14" spans="2:41">
      <c r="B14" s="57" t="s">
        <v>6</v>
      </c>
      <c r="C14" s="50" t="s">
        <v>7</v>
      </c>
      <c r="D14" s="64">
        <f>1/3600000000000000</f>
        <v>2.777777777777778E-16</v>
      </c>
      <c r="E14" s="58">
        <f>'Conversion Factors'!$L$3*'Conversion Factors'!D14</f>
        <v>0.28316156736446602</v>
      </c>
      <c r="F14" s="59" t="str">
        <f>IF(E14&gt;1000000,IF('Energy Convertor'!J$10=1,TEXT(E14,"0"&amp;REPT("0",('Energy Convertor'!J$10-1))&amp;"E+0"),TEXT(E14,"0"&amp;"."&amp;REPT("0",('Energy Convertor'!J$10-1))&amp;"E+0")),IF(E14&lt;0.000001,IF('Energy Convertor'!J$10=1,TEXT(E14,"0"&amp;REPT("0",('Energy Convertor'!J$10-1))&amp;"E-0"),TEXT(E14,"0"&amp;"."&amp;REPT("0",('Energy Convertor'!J$10-1))&amp;"E-0")),TEXT(IF(E14&lt;0,"-","")&amp;LEFT(TEXT(ABS(E14),"0."&amp;REPT("0",'Energy Convertor'!J$10-1)&amp;"E+00"),'Energy Convertor'!J$10+1)*10^FLOOR(LOG10(TEXT(ABS(E14),"0."&amp;REPT("0",'Energy Convertor'!J$10-1)&amp;"E+00")),1),(""&amp;(IF(OR(AND(FLOOR(LOG10(TEXT(ABS(E14),"0."&amp;REPT("0",'Energy Convertor'!J$10-1)&amp;"E+00")),1)+1='Energy Convertor'!J$10,RIGHT(LEFT(TEXT(ABS(E14),"0."&amp;REPT("0",'Energy Convertor'!J$10-1)&amp;"E+00"),'Energy Convertor'!J$10+1)*10^FLOOR(LOG10(TEXT(ABS(E14),"0."&amp;REPT("0",'Energy Convertor'!J$10-1)&amp;"E+00")),1),1)="0"),LOG10(TEXT(ABS(E14),"0."&amp;REPT("0",'Energy Convertor'!J$10-1)&amp;"E+00"))&lt;='Energy Convertor'!J$10-1),"0.","#")&amp;REPT("0",IF('Energy Convertor'!J$10-1-(FLOOR(LOG10(TEXT(ABS(E14),"0."&amp;REPT("0",'Energy Convertor'!J$10-1)&amp;"E+00")),1))&gt;0,'Energy Convertor'!J$10-1-(FLOOR(LOG10(TEXT(ABS(E14),"0."&amp;REPT("0",'Energy Convertor'!J$10-1)&amp;"E+00")),1)),0)))))))</f>
        <v>0.28</v>
      </c>
      <c r="Q14" s="13"/>
      <c r="R14" s="13"/>
      <c r="S14" s="15" t="s">
        <v>240</v>
      </c>
      <c r="T14" s="13" t="str">
        <f t="shared" si="0"/>
        <v>terawatt/hours</v>
      </c>
      <c r="U14" s="15" t="s">
        <v>51</v>
      </c>
      <c r="V14" s="14" t="s">
        <v>218</v>
      </c>
      <c r="W14" s="15" t="s">
        <v>52</v>
      </c>
      <c r="X14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</v>
      </c>
      <c r="Y14" s="13"/>
      <c r="Z14" s="18" t="b">
        <v>0</v>
      </c>
      <c r="AA14" s="19" t="b">
        <v>0</v>
      </c>
      <c r="AB14" s="19" t="s">
        <v>84</v>
      </c>
      <c r="AC14" s="19" t="s">
        <v>94</v>
      </c>
      <c r="AD14" s="164"/>
      <c r="AE14" s="158"/>
      <c r="AF14" s="160"/>
      <c r="AG14" s="158"/>
      <c r="AH14" s="158"/>
      <c r="AI14" s="160"/>
      <c r="AJ14" s="158"/>
      <c r="AK14" s="160"/>
      <c r="AL14" s="158"/>
      <c r="AM14" s="158"/>
      <c r="AN14" s="158"/>
      <c r="AO14" s="159"/>
    </row>
    <row r="15" spans="2:41">
      <c r="B15" s="57" t="s">
        <v>46</v>
      </c>
      <c r="C15" s="50" t="s">
        <v>76</v>
      </c>
      <c r="D15" s="64">
        <f>1/((IF('Energy Convertor'!D4="ISO (1055.06 J)",1055.06,1055)))</f>
        <v>9.4781339449889106E-4</v>
      </c>
      <c r="E15" s="58">
        <f>'Conversion Factors'!$L$3*'Conversion Factors'!D15</f>
        <v>966183574879.22729</v>
      </c>
      <c r="F15" s="59" t="str">
        <f>IF(E15&gt;1000000,IF('Energy Convertor'!J$10=1,TEXT(E15,"0"&amp;REPT("0",('Energy Convertor'!J$10-1))&amp;"E+0"),TEXT(E15,"0"&amp;"."&amp;REPT("0",('Energy Convertor'!J$10-1))&amp;"E+0")),IF(E15&lt;0.000001,IF('Energy Convertor'!J$10=1,TEXT(E15,"0"&amp;REPT("0",('Energy Convertor'!J$10-1))&amp;"E-0"),TEXT(E15,"0"&amp;"."&amp;REPT("0",('Energy Convertor'!J$10-1))&amp;"E-0")),TEXT(IF(E15&lt;0,"-","")&amp;LEFT(TEXT(ABS(E15),"0."&amp;REPT("0",'Energy Convertor'!J$10-1)&amp;"E+00"),'Energy Convertor'!J$10+1)*10^FLOOR(LOG10(TEXT(ABS(E15),"0."&amp;REPT("0",'Energy Convertor'!J$10-1)&amp;"E+00")),1),(""&amp;(IF(OR(AND(FLOOR(LOG10(TEXT(ABS(E15),"0."&amp;REPT("0",'Energy Convertor'!J$10-1)&amp;"E+00")),1)+1='Energy Convertor'!J$10,RIGHT(LEFT(TEXT(ABS(E15),"0."&amp;REPT("0",'Energy Convertor'!J$10-1)&amp;"E+00"),'Energy Convertor'!J$10+1)*10^FLOOR(LOG10(TEXT(ABS(E15),"0."&amp;REPT("0",'Energy Convertor'!J$10-1)&amp;"E+00")),1),1)="0"),LOG10(TEXT(ABS(E15),"0."&amp;REPT("0",'Energy Convertor'!J$10-1)&amp;"E+00"))&lt;='Energy Convertor'!J$10-1),"0.","#")&amp;REPT("0",IF('Energy Convertor'!J$10-1-(FLOOR(LOG10(TEXT(ABS(E15),"0."&amp;REPT("0",'Energy Convertor'!J$10-1)&amp;"E+00")),1))&gt;0,'Energy Convertor'!J$10-1-(FLOOR(LOG10(TEXT(ABS(E15),"0."&amp;REPT("0",'Energy Convertor'!J$10-1)&amp;"E+00")),1)),0)))))))</f>
        <v>9.7E+11</v>
      </c>
      <c r="Q15" s="13"/>
      <c r="R15" s="13"/>
      <c r="S15" s="15" t="s">
        <v>240</v>
      </c>
      <c r="T15" s="13" t="str">
        <f t="shared" si="0"/>
        <v>British thermal units</v>
      </c>
      <c r="U15" s="15" t="s">
        <v>51</v>
      </c>
      <c r="V15" s="14" t="s">
        <v>219</v>
      </c>
      <c r="W15" s="15" t="s">
        <v>52</v>
      </c>
      <c r="X15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</v>
      </c>
      <c r="Y15" s="13"/>
      <c r="Z15" s="18" t="b">
        <v>0</v>
      </c>
      <c r="AA15" s="19" t="b">
        <v>0</v>
      </c>
      <c r="AB15" s="19" t="s">
        <v>85</v>
      </c>
      <c r="AC15" s="19" t="s">
        <v>96</v>
      </c>
      <c r="AD15" s="164">
        <f>((1/(IF('Energy Convertor'!D4="ISO (1055.06 J)",1055.06,1055))/1000000000000)*0.028)</f>
        <v>2.6538775045968947E-17</v>
      </c>
      <c r="AE15" s="158">
        <f>((1/(IF('Energy Convertor'!D4="ISO (1055.06 J)",1055.06,1055))/1000000000000)*0.99)</f>
        <v>9.3833526055390208E-16</v>
      </c>
      <c r="AF15" s="160"/>
      <c r="AG15" s="158">
        <f>((1/(IF('Energy Convertor'!D4="ISO (1055.06 J)",1055.06,1055))/1000000000000)*0.021)</f>
        <v>1.9904081284476712E-17</v>
      </c>
      <c r="AH15" s="158">
        <f>((1/(IF('Energy Convertor'!D4="ISO (1055.06 J)",1055.06,1055))/1000000000000)*0.18)</f>
        <v>1.7060641100980036E-16</v>
      </c>
      <c r="AI15" s="160"/>
      <c r="AJ15" s="158"/>
      <c r="AK15" s="160"/>
      <c r="AL15" s="158"/>
      <c r="AM15" s="158"/>
      <c r="AN15" s="158"/>
      <c r="AO15" s="159"/>
    </row>
    <row r="16" spans="2:41">
      <c r="B16" s="57" t="s">
        <v>8</v>
      </c>
      <c r="C16" s="50" t="s">
        <v>77</v>
      </c>
      <c r="D16" s="64">
        <f>1/((IF('Energy Convertor'!D4="ISO (1055.06 J)",1055.06,1055))*100000)</f>
        <v>9.4781339449889111E-9</v>
      </c>
      <c r="E16" s="58">
        <f>'Conversion Factors'!$L$3*'Conversion Factors'!D16</f>
        <v>9661835.7487922739</v>
      </c>
      <c r="F16" s="59" t="str">
        <f>IF(E16&gt;1000000,IF('Energy Convertor'!J$10=1,TEXT(E16,"0"&amp;REPT("0",('Energy Convertor'!J$10-1))&amp;"E+0"),TEXT(E16,"0"&amp;"."&amp;REPT("0",('Energy Convertor'!J$10-1))&amp;"E+0")),IF(E16&lt;0.000001,IF('Energy Convertor'!J$10=1,TEXT(E16,"0"&amp;REPT("0",('Energy Convertor'!J$10-1))&amp;"E-0"),TEXT(E16,"0"&amp;"."&amp;REPT("0",('Energy Convertor'!J$10-1))&amp;"E-0")),TEXT(IF(E16&lt;0,"-","")&amp;LEFT(TEXT(ABS(E16),"0."&amp;REPT("0",'Energy Convertor'!J$10-1)&amp;"E+00"),'Energy Convertor'!J$10+1)*10^FLOOR(LOG10(TEXT(ABS(E16),"0."&amp;REPT("0",'Energy Convertor'!J$10-1)&amp;"E+00")),1),(""&amp;(IF(OR(AND(FLOOR(LOG10(TEXT(ABS(E16),"0."&amp;REPT("0",'Energy Convertor'!J$10-1)&amp;"E+00")),1)+1='Energy Convertor'!J$10,RIGHT(LEFT(TEXT(ABS(E16),"0."&amp;REPT("0",'Energy Convertor'!J$10-1)&amp;"E+00"),'Energy Convertor'!J$10+1)*10^FLOOR(LOG10(TEXT(ABS(E16),"0."&amp;REPT("0",'Energy Convertor'!J$10-1)&amp;"E+00")),1),1)="0"),LOG10(TEXT(ABS(E16),"0."&amp;REPT("0",'Energy Convertor'!J$10-1)&amp;"E+00"))&lt;='Energy Convertor'!J$10-1),"0.","#")&amp;REPT("0",IF('Energy Convertor'!J$10-1-(FLOOR(LOG10(TEXT(ABS(E16),"0."&amp;REPT("0",'Energy Convertor'!J$10-1)&amp;"E+00")),1))&gt;0,'Energy Convertor'!J$10-1-(FLOOR(LOG10(TEXT(ABS(E16),"0."&amp;REPT("0",'Energy Convertor'!J$10-1)&amp;"E+00")),1)),0)))))))</f>
        <v>9.7E+6</v>
      </c>
      <c r="Q16" s="13"/>
      <c r="R16" s="13"/>
      <c r="S16" s="15" t="s">
        <v>240</v>
      </c>
      <c r="T16" s="13" t="str">
        <f t="shared" si="0"/>
        <v>therms</v>
      </c>
      <c r="U16" s="15" t="s">
        <v>51</v>
      </c>
      <c r="V16" s="14" t="s">
        <v>220</v>
      </c>
      <c r="W16" s="15" t="s">
        <v>52</v>
      </c>
      <c r="X16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</v>
      </c>
      <c r="Y16" s="13"/>
      <c r="Z16" s="18" t="b">
        <v>0</v>
      </c>
      <c r="AA16" s="19" t="b">
        <v>0</v>
      </c>
      <c r="AB16" s="19" t="s">
        <v>85</v>
      </c>
      <c r="AC16" s="19" t="s">
        <v>94</v>
      </c>
      <c r="AD16" s="164"/>
      <c r="AE16" s="158"/>
      <c r="AF16" s="160"/>
      <c r="AG16" s="158"/>
      <c r="AH16" s="158"/>
      <c r="AI16" s="160"/>
      <c r="AJ16" s="158"/>
      <c r="AK16" s="160"/>
      <c r="AL16" s="158"/>
      <c r="AM16" s="158"/>
      <c r="AN16" s="158"/>
      <c r="AO16" s="159"/>
    </row>
    <row r="17" spans="2:41">
      <c r="B17" s="57" t="s">
        <v>9</v>
      </c>
      <c r="C17" s="50" t="s">
        <v>78</v>
      </c>
      <c r="D17" s="64">
        <f>1/((IF('Energy Convertor'!D4="ISO (1055.06 J)",1055.06,1055))*1000000)</f>
        <v>9.4781339449889107E-10</v>
      </c>
      <c r="E17" s="58">
        <f>'Conversion Factors'!$L$3*'Conversion Factors'!D17</f>
        <v>966183.57487922721</v>
      </c>
      <c r="F17" s="59" t="str">
        <f>IF(E17&gt;1000000,IF('Energy Convertor'!J$10=1,TEXT(E17,"0"&amp;REPT("0",('Energy Convertor'!J$10-1))&amp;"E+0"),TEXT(E17,"0"&amp;"."&amp;REPT("0",('Energy Convertor'!J$10-1))&amp;"E+0")),IF(E17&lt;0.000001,IF('Energy Convertor'!J$10=1,TEXT(E17,"0"&amp;REPT("0",('Energy Convertor'!J$10-1))&amp;"E-0"),TEXT(E17,"0"&amp;"."&amp;REPT("0",('Energy Convertor'!J$10-1))&amp;"E-0")),TEXT(IF(E17&lt;0,"-","")&amp;LEFT(TEXT(ABS(E17),"0."&amp;REPT("0",'Energy Convertor'!J$10-1)&amp;"E+00"),'Energy Convertor'!J$10+1)*10^FLOOR(LOG10(TEXT(ABS(E17),"0."&amp;REPT("0",'Energy Convertor'!J$10-1)&amp;"E+00")),1),(""&amp;(IF(OR(AND(FLOOR(LOG10(TEXT(ABS(E17),"0."&amp;REPT("0",'Energy Convertor'!J$10-1)&amp;"E+00")),1)+1='Energy Convertor'!J$10,RIGHT(LEFT(TEXT(ABS(E17),"0."&amp;REPT("0",'Energy Convertor'!J$10-1)&amp;"E+00"),'Energy Convertor'!J$10+1)*10^FLOOR(LOG10(TEXT(ABS(E17),"0."&amp;REPT("0",'Energy Convertor'!J$10-1)&amp;"E+00")),1),1)="0"),LOG10(TEXT(ABS(E17),"0."&amp;REPT("0",'Energy Convertor'!J$10-1)&amp;"E+00"))&lt;='Energy Convertor'!J$10-1),"0.","#")&amp;REPT("0",IF('Energy Convertor'!J$10-1-(FLOOR(LOG10(TEXT(ABS(E17),"0."&amp;REPT("0",'Energy Convertor'!J$10-1)&amp;"E+00")),1))&gt;0,'Energy Convertor'!J$10-1-(FLOOR(LOG10(TEXT(ABS(E17),"0."&amp;REPT("0",'Energy Convertor'!J$10-1)&amp;"E+00")),1)),0)))))))</f>
        <v>970000</v>
      </c>
      <c r="Q17" s="13"/>
      <c r="R17" s="13"/>
      <c r="S17" s="15" t="s">
        <v>240</v>
      </c>
      <c r="T17" s="13" t="str">
        <f t="shared" si="0"/>
        <v>decatherms</v>
      </c>
      <c r="U17" s="15" t="s">
        <v>51</v>
      </c>
      <c r="V17" s="14" t="s">
        <v>221</v>
      </c>
      <c r="W17" s="15" t="s">
        <v>52</v>
      </c>
      <c r="X17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</v>
      </c>
      <c r="Y17" s="13"/>
      <c r="Z17" s="161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21"/>
      <c r="AL17" s="158"/>
      <c r="AM17" s="158"/>
      <c r="AN17" s="158"/>
      <c r="AO17" s="159"/>
    </row>
    <row r="18" spans="2:41">
      <c r="B18" s="60" t="s">
        <v>10</v>
      </c>
      <c r="C18" s="51" t="s">
        <v>79</v>
      </c>
      <c r="D18" s="65">
        <f>1/((IF('Energy Convertor'!D4="ISO (1055.06 J)",1055.06,1055))*100000000000)</f>
        <v>9.4781339449889103E-15</v>
      </c>
      <c r="E18" s="52">
        <f>'Conversion Factors'!$L$3*'Conversion Factors'!D18</f>
        <v>9.6618357487922726</v>
      </c>
      <c r="F18" s="61" t="str">
        <f>IF(E18&gt;1000000,IF('Energy Convertor'!J$10=1,TEXT(E18,"0"&amp;REPT("0",('Energy Convertor'!J$10-1))&amp;"E+0"),TEXT(E18,"0"&amp;"."&amp;REPT("0",('Energy Convertor'!J$10-1))&amp;"E+0")),IF(E18&lt;0.000001,IF('Energy Convertor'!J$10=1,TEXT(E18,"0"&amp;REPT("0",('Energy Convertor'!J$10-1))&amp;"E-0"),TEXT(E18,"0"&amp;"."&amp;REPT("0",('Energy Convertor'!J$10-1))&amp;"E-0")),TEXT(IF(E18&lt;0,"-","")&amp;LEFT(TEXT(ABS(E18),"0."&amp;REPT("0",'Energy Convertor'!J$10-1)&amp;"E+00"),'Energy Convertor'!J$10+1)*10^FLOOR(LOG10(TEXT(ABS(E18),"0."&amp;REPT("0",'Energy Convertor'!J$10-1)&amp;"E+00")),1),(""&amp;(IF(OR(AND(FLOOR(LOG10(TEXT(ABS(E18),"0."&amp;REPT("0",'Energy Convertor'!J$10-1)&amp;"E+00")),1)+1='Energy Convertor'!J$10,RIGHT(LEFT(TEXT(ABS(E18),"0."&amp;REPT("0",'Energy Convertor'!J$10-1)&amp;"E+00"),'Energy Convertor'!J$10+1)*10^FLOOR(LOG10(TEXT(ABS(E18),"0."&amp;REPT("0",'Energy Convertor'!J$10-1)&amp;"E+00")),1),1)="0"),LOG10(TEXT(ABS(E18),"0."&amp;REPT("0",'Energy Convertor'!J$10-1)&amp;"E+00"))&lt;='Energy Convertor'!J$10-1),"0.","#")&amp;REPT("0",IF('Energy Convertor'!J$10-1-(FLOOR(LOG10(TEXT(ABS(E18),"0."&amp;REPT("0",'Energy Convertor'!J$10-1)&amp;"E+00")),1))&gt;0,'Energy Convertor'!J$10-1-(FLOOR(LOG10(TEXT(ABS(E18),"0."&amp;REPT("0",'Energy Convertor'!J$10-1)&amp;"E+00")),1)),0)))))))</f>
        <v>9.7</v>
      </c>
      <c r="Q18" s="13"/>
      <c r="R18" s="13"/>
      <c r="S18" s="15" t="s">
        <v>240</v>
      </c>
      <c r="T18" s="13" t="str">
        <f t="shared" si="0"/>
        <v>million therms</v>
      </c>
      <c r="U18" s="15" t="s">
        <v>51</v>
      </c>
      <c r="V18" s="14" t="s">
        <v>222</v>
      </c>
      <c r="W18" s="15" t="s">
        <v>52</v>
      </c>
      <c r="X18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</v>
      </c>
      <c r="Y18" s="13"/>
      <c r="Z18" s="161"/>
      <c r="AA18" s="158"/>
      <c r="AB18" s="158"/>
      <c r="AC18" s="158"/>
      <c r="AD18" s="21">
        <f>IF('Conversion Factors'!C41="kWh/m³",1/('Energy Convertor'!D6*3600000*1000000000),IF('Conversion Factors'!C41="Btu/ft³",0.028*(1/('Energy Convertor'!D6*IF('Energy Convertor'!D4="ISO (1055.06 J)",1055.06,1055)*1000000000)),IF('Energy Convertor'!D5="BP (3 d.p.)",(1/(IF('Energy Convertor'!D4="ISO (1055.06 J)",1055.06,1055))/1000000000000*0.029),((1/(IF('Energy Convertor'!D4="ISO (1055.06 J)",1055.06,1055))/1000000000000)*0.028))))</f>
        <v>2.7486588440467841E-17</v>
      </c>
      <c r="AE18" s="21">
        <f>IF('Conversion Factors'!C41="kWh/m³",IF('Energy Convertor'!D5="BP (3 d.p.)",35.315*(1/(('Energy Convertor'!D6*3600000*1000000000))),35.3*(1/(('Energy Convertor'!D6*3600000*1000000000)))),IF('Conversion Factors'!C41="Btu/ft³",1/('Energy Convertor'!D6*IF('Energy Convertor'!D4="ISO (1055.06 J)",1055.06,1055)*1000000000),IF('Energy Convertor'!D5="BP (3 d.p.)",((1/(IF('Energy Convertor'!D4="ISO (1055.06 J)",1055.06,1055))/1000000000000)*1.035),((1/(IF('Energy Convertor'!D4="ISO (1055.06 J)",1055.06,1055))/1000000000000)*0.99))))</f>
        <v>9.8098686330635209E-16</v>
      </c>
      <c r="AF18" s="21">
        <f>IF('Conversion Factors'!C41="kWh/m³",IF('Energy Convertor'!D5="BP (3 d.p.)",0.86*(1/('Energy Convertor'!D6*3600000*1000000000)),0.9*(1/(('Energy Convertor'!D6*3600000*1000000000)))),IF('Conversion Factors'!C41="Btu/ft³",IF('Energy Convertor'!D5="BP (3 d.p.)",0.024*(1/('Energy Convertor'!D6*IF('Energy Convertor'!D4="ISO (1055.06 J)",1055.06,1055)*1000000000)),0.025*(1/('Energy Convertor'!D6*IF('Energy Convertor'!D4="ISO (1055.06 J)",1055.06,1055)*1000000000))),((1/(IF('Energy Convertor'!D4="ISO (1055.06 J)",1055.06,1055))/1000000000000)*0.025)))</f>
        <v>2.3695334862472277E-17</v>
      </c>
      <c r="AG18" s="21">
        <f>IF('Conversion Factors'!C41="kWh/m³",IF('Energy Convertor'!D5="BP (3 d.p.)",0.735*(1/(('Energy Convertor'!D6*3600000*1000000000))),0.74*(1/(('Energy Convertor'!D6*3600000*1000000000)))),IF('Conversion Factors'!C41="Btu/ft³",0.021*(1/('Energy Convertor'!D6*IF('Energy Convertor'!D4="ISO (1055.06 J)",1055.06,1055)*1000000000)),IF('Energy Convertor'!D5="BP (3 d.p.)",((1/IF('Energy Convertor'!D4="ISO (1055.06 J)",1055.06,1055))/1000000000000)*0.022,((1/(IF('Energy Convertor'!D4="ISO (1055.06 J)",1055.06,1055))/1000000000000)*0.021))))</f>
        <v>2.08518946789756E-17</v>
      </c>
      <c r="AH18" s="21">
        <f>IF('Conversion Factors'!C41="kWh/m³",IF('Energy Convertor'!D5="BP (3 d.p.)",5.883*(1/(('Energy Convertor'!D6*3600000*1000000000))),6.6*(1/(('Energy Convertor'!D6*3600000*1000000000)))),IF('Conversion Factors'!C41="Btu/ft³",IF('Energy Convertor'!D5="BP (3 d.p.)",0.167*(1/('Energy Convertor'!D6*IF('Energy Convertor'!D4="ISO (1055.06 J)",1055.06,1055)*1000000000)),0.19*(1/('Energy Convertor'!D6*IF('Energy Convertor'!D4="ISO (1055.06 J)",1055.06,1055)*1000000000))),IF('Energy Convertor'!D5="BP (3 d.p.)",((1/(IF('Energy Convertor'!D4="ISO (1055.06 J)",1055.06,1055))/1000000000000)*0.172),((1/(IF('Energy Convertor'!D4="ISO (1055.06 J)",1055.06,1055))/1000000000000)*0.18))))</f>
        <v>1.6302390385380924E-16</v>
      </c>
      <c r="AI18" s="158"/>
      <c r="AJ18" s="158"/>
      <c r="AK18" s="21">
        <f>IF('Conversion Factors'!C41=FALSE,((1/(IF('Energy Convertor'!D4="ISO (1055.06 J)",1055.06,1055))/1000000000000)*(0.025/1.5)),IF('Conversion Factors'!C41="kWh/m³",IF('Energy Convertor'!D5="BP (3 d.p.)",(0.86/1.5)*(1/(('Energy Convertor'!D6*3600000*1000000000))),(0.9/1.5)*(1/(('Energy Convertor'!D6*3600000*1000000000)))),IF('Conversion Factors'!C41="Btu/ft³",(0.024/1.5)*(1/('Energy Convertor'!D6*IF('Energy Convertor'!D4="ISO (1055.06 J)",1055.06,1055)*1000000000)),IF('Energy Convertor'!D5="BP (3 d.p.)",(0.025/1.5)*(1/('Energy Convertor'!D6*IF('Energy Convertor'!D4="ISO (1055.06 J)",1055.06,1055)*1000000000)),((1/(IF('Energy Convertor'!D4="ISO (1055.06 J)",1055.06,1055))/1000000000000)*(0.025/1.5))))))</f>
        <v>1.5796889908314849E-17</v>
      </c>
      <c r="AL18" s="158"/>
      <c r="AM18" s="158"/>
      <c r="AN18" s="158"/>
      <c r="AO18" s="159"/>
    </row>
    <row r="19" spans="2:41">
      <c r="B19" s="57" t="s">
        <v>59</v>
      </c>
      <c r="C19" s="50" t="s">
        <v>28</v>
      </c>
      <c r="D19" s="64">
        <f>(IF('Conversion Factors'!C41="kWh/m³",1/('Energy Convertor'!D6*3600000*1000000000),IF('Conversion Factors'!C41="Btu/ft³",0.028*(1/('Energy Convertor'!D6*IF('Energy Convertor'!D4="ISO (1055.06 J)",1055.06,1055)*1000000000)),IF('Energy Convertor'!D5="BP (3 d.p.)",(1/(IF('Energy Convertor'!D4="ISO (1055.06 J)",1055.06,1055))/1000000000000*0.029),((1/(IF('Energy Convertor'!D4="ISO (1055.06 J)",1055.06,1055))/1000000000000)*0.028)))))*1000000000</f>
        <v>2.7486588440467841E-8</v>
      </c>
      <c r="E19" s="58">
        <f>'Conversion Factors'!$L$3*'Conversion Factors'!D19</f>
        <v>28019323.671497591</v>
      </c>
      <c r="F19" s="59" t="str">
        <f>IF(E19&gt;1000000,IF('Energy Convertor'!J$10=1,TEXT(E19,"0"&amp;REPT("0",('Energy Convertor'!J$10-1))&amp;"E+0"),TEXT(E19,"0"&amp;"."&amp;REPT("0",('Energy Convertor'!J$10-1))&amp;"E+0")),IF(E19&lt;0.000001,IF('Energy Convertor'!J$10=1,TEXT(E19,"0"&amp;REPT("0",('Energy Convertor'!J$10-1))&amp;"E-0"),TEXT(E19,"0"&amp;"."&amp;REPT("0",('Energy Convertor'!J$10-1))&amp;"E-0")),TEXT(IF(E19&lt;0,"-","")&amp;LEFT(TEXT(ABS(E19),"0."&amp;REPT("0",'Energy Convertor'!J$10-1)&amp;"E+00"),'Energy Convertor'!J$10+1)*10^FLOOR(LOG10(TEXT(ABS(E19),"0."&amp;REPT("0",'Energy Convertor'!J$10-1)&amp;"E+00")),1),(""&amp;(IF(OR(AND(FLOOR(LOG10(TEXT(ABS(E19),"0."&amp;REPT("0",'Energy Convertor'!J$10-1)&amp;"E+00")),1)+1='Energy Convertor'!J$10,RIGHT(LEFT(TEXT(ABS(E19),"0."&amp;REPT("0",'Energy Convertor'!J$10-1)&amp;"E+00"),'Energy Convertor'!J$10+1)*10^FLOOR(LOG10(TEXT(ABS(E19),"0."&amp;REPT("0",'Energy Convertor'!J$10-1)&amp;"E+00")),1),1)="0"),LOG10(TEXT(ABS(E19),"0."&amp;REPT("0",'Energy Convertor'!J$10-1)&amp;"E+00"))&lt;='Energy Convertor'!J$10-1),"0.","#")&amp;REPT("0",IF('Energy Convertor'!J$10-1-(FLOOR(LOG10(TEXT(ABS(E19),"0."&amp;REPT("0",'Energy Convertor'!J$10-1)&amp;"E+00")),1))&gt;0,'Energy Convertor'!J$10-1-(FLOOR(LOG10(TEXT(ABS(E19),"0."&amp;REPT("0",'Energy Convertor'!J$10-1)&amp;"E+00")),1)),0)))))))</f>
        <v>2.8E+7</v>
      </c>
      <c r="Q19" s="13"/>
      <c r="R19" s="13"/>
      <c r="S19" s="15" t="s">
        <v>240</v>
      </c>
      <c r="T19" s="13" t="str">
        <f t="shared" si="0"/>
        <v>cubic meter NG</v>
      </c>
      <c r="U19" s="15" t="s">
        <v>51</v>
      </c>
      <c r="V19" s="14" t="s">
        <v>223</v>
      </c>
      <c r="W19" s="15" t="s">
        <v>52</v>
      </c>
      <c r="X19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</v>
      </c>
      <c r="Y19" s="13"/>
      <c r="Z19" s="162"/>
      <c r="AA19" s="163"/>
      <c r="AB19" s="163"/>
      <c r="AC19" s="163"/>
      <c r="AD19" s="28">
        <v>4</v>
      </c>
      <c r="AE19" s="28">
        <v>9</v>
      </c>
      <c r="AF19" s="28">
        <v>14</v>
      </c>
      <c r="AG19" s="28">
        <v>19</v>
      </c>
      <c r="AH19" s="28">
        <v>25</v>
      </c>
      <c r="AI19" s="163"/>
      <c r="AJ19" s="163"/>
      <c r="AK19" s="28">
        <v>30</v>
      </c>
      <c r="AL19" s="163"/>
      <c r="AM19" s="163"/>
      <c r="AN19" s="163"/>
      <c r="AO19" s="168"/>
    </row>
    <row r="20" spans="2:41">
      <c r="B20" s="57" t="s">
        <v>60</v>
      </c>
      <c r="C20" s="50" t="s">
        <v>29</v>
      </c>
      <c r="D20" s="64">
        <f>(IF('Conversion Factors'!C41="kWh/m³",1/('Energy Convertor'!D6*3600000*1000000000),IF('Conversion Factors'!C41="Btu/ft³",0.028*(1/('Energy Convertor'!D6*IF('Energy Convertor'!D4="ISO (1055.06 J)",1055.06,1055)*1000000000)),IF('Energy Convertor'!D5="BP (3 d.p.)",(1/(IF('Energy Convertor'!D4="ISO (1055.06 J)",1055.06,1055))/1000000000000*0.029),((1/(IF('Energy Convertor'!D4="ISO (1055.06 J)",1055.06,1055))/1000000000000)*0.028)))))*1000000</f>
        <v>2.7486588440467842E-11</v>
      </c>
      <c r="E20" s="58">
        <f>'Conversion Factors'!$L$3*'Conversion Factors'!D20</f>
        <v>28019.32367149759</v>
      </c>
      <c r="F20" s="59" t="str">
        <f>IF(E20&gt;1000000,IF('Energy Convertor'!J$10=1,TEXT(E20,"0"&amp;REPT("0",('Energy Convertor'!J$10-1))&amp;"E+0"),TEXT(E20,"0"&amp;"."&amp;REPT("0",('Energy Convertor'!J$10-1))&amp;"E+0")),IF(E20&lt;0.000001,IF('Energy Convertor'!J$10=1,TEXT(E20,"0"&amp;REPT("0",('Energy Convertor'!J$10-1))&amp;"E-0"),TEXT(E20,"0"&amp;"."&amp;REPT("0",('Energy Convertor'!J$10-1))&amp;"E-0")),TEXT(IF(E20&lt;0,"-","")&amp;LEFT(TEXT(ABS(E20),"0."&amp;REPT("0",'Energy Convertor'!J$10-1)&amp;"E+00"),'Energy Convertor'!J$10+1)*10^FLOOR(LOG10(TEXT(ABS(E20),"0."&amp;REPT("0",'Energy Convertor'!J$10-1)&amp;"E+00")),1),(""&amp;(IF(OR(AND(FLOOR(LOG10(TEXT(ABS(E20),"0."&amp;REPT("0",'Energy Convertor'!J$10-1)&amp;"E+00")),1)+1='Energy Convertor'!J$10,RIGHT(LEFT(TEXT(ABS(E20),"0."&amp;REPT("0",'Energy Convertor'!J$10-1)&amp;"E+00"),'Energy Convertor'!J$10+1)*10^FLOOR(LOG10(TEXT(ABS(E20),"0."&amp;REPT("0",'Energy Convertor'!J$10-1)&amp;"E+00")),1),1)="0"),LOG10(TEXT(ABS(E20),"0."&amp;REPT("0",'Energy Convertor'!J$10-1)&amp;"E+00"))&lt;='Energy Convertor'!J$10-1),"0.","#")&amp;REPT("0",IF('Energy Convertor'!J$10-1-(FLOOR(LOG10(TEXT(ABS(E20),"0."&amp;REPT("0",'Energy Convertor'!J$10-1)&amp;"E+00")),1))&gt;0,'Energy Convertor'!J$10-1-(FLOOR(LOG10(TEXT(ABS(E20),"0."&amp;REPT("0",'Energy Convertor'!J$10-1)&amp;"E+00")),1)),0)))))))</f>
        <v>28000</v>
      </c>
      <c r="Q20" s="13"/>
      <c r="R20" s="13"/>
      <c r="S20" s="15" t="s">
        <v>240</v>
      </c>
      <c r="T20" s="13" t="str">
        <f t="shared" si="0"/>
        <v>thousand cubic meters  NG</v>
      </c>
      <c r="U20" s="15" t="s">
        <v>51</v>
      </c>
      <c r="V20" s="14" t="s">
        <v>224</v>
      </c>
      <c r="W20" s="15" t="s">
        <v>52</v>
      </c>
      <c r="X20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</v>
      </c>
      <c r="Y20" s="13"/>
    </row>
    <row r="21" spans="2:41">
      <c r="B21" s="57" t="s">
        <v>61</v>
      </c>
      <c r="C21" s="50" t="s">
        <v>30</v>
      </c>
      <c r="D21" s="64">
        <f>(IF('Conversion Factors'!C41="kWh/m³",1/('Energy Convertor'!D6*3600000*1000000000),IF('Conversion Factors'!C41="Btu/ft³",0.028*(1/('Energy Convertor'!D6*IF('Energy Convertor'!D4="ISO (1055.06 J)",1055.06,1055)*1000000000)),IF('Energy Convertor'!D5="BP (3 d.p.)",(1/(IF('Energy Convertor'!D4="ISO (1055.06 J)",1055.06,1055))/1000000000000*0.029),((1/(IF('Energy Convertor'!D4="ISO (1055.06 J)",1055.06,1055))/1000000000000)*0.028)))))*1000</f>
        <v>2.7486588440467842E-14</v>
      </c>
      <c r="E21" s="58">
        <f>'Conversion Factors'!$L$3*'Conversion Factors'!D21</f>
        <v>28.019323671497592</v>
      </c>
      <c r="F21" s="59" t="str">
        <f>IF(E21&gt;1000000,IF('Energy Convertor'!J$10=1,TEXT(E21,"0"&amp;REPT("0",('Energy Convertor'!J$10-1))&amp;"E+0"),TEXT(E21,"0"&amp;"."&amp;REPT("0",('Energy Convertor'!J$10-1))&amp;"E+0")),IF(E21&lt;0.000001,IF('Energy Convertor'!J$10=1,TEXT(E21,"0"&amp;REPT("0",('Energy Convertor'!J$10-1))&amp;"E-0"),TEXT(E21,"0"&amp;"."&amp;REPT("0",('Energy Convertor'!J$10-1))&amp;"E-0")),TEXT(IF(E21&lt;0,"-","")&amp;LEFT(TEXT(ABS(E21),"0."&amp;REPT("0",'Energy Convertor'!J$10-1)&amp;"E+00"),'Energy Convertor'!J$10+1)*10^FLOOR(LOG10(TEXT(ABS(E21),"0."&amp;REPT("0",'Energy Convertor'!J$10-1)&amp;"E+00")),1),(""&amp;(IF(OR(AND(FLOOR(LOG10(TEXT(ABS(E21),"0."&amp;REPT("0",'Energy Convertor'!J$10-1)&amp;"E+00")),1)+1='Energy Convertor'!J$10,RIGHT(LEFT(TEXT(ABS(E21),"0."&amp;REPT("0",'Energy Convertor'!J$10-1)&amp;"E+00"),'Energy Convertor'!J$10+1)*10^FLOOR(LOG10(TEXT(ABS(E21),"0."&amp;REPT("0",'Energy Convertor'!J$10-1)&amp;"E+00")),1),1)="0"),LOG10(TEXT(ABS(E21),"0."&amp;REPT("0",'Energy Convertor'!J$10-1)&amp;"E+00"))&lt;='Energy Convertor'!J$10-1),"0.","#")&amp;REPT("0",IF('Energy Convertor'!J$10-1-(FLOOR(LOG10(TEXT(ABS(E21),"0."&amp;REPT("0",'Energy Convertor'!J$10-1)&amp;"E+00")),1))&gt;0,'Energy Convertor'!J$10-1-(FLOOR(LOG10(TEXT(ABS(E21),"0."&amp;REPT("0",'Energy Convertor'!J$10-1)&amp;"E+00")),1)),0)))))))</f>
        <v>28</v>
      </c>
      <c r="Q21" s="13"/>
      <c r="R21" s="13"/>
      <c r="S21" s="15" t="s">
        <v>240</v>
      </c>
      <c r="T21" s="13" t="str">
        <f t="shared" si="0"/>
        <v>million cubic meters NG</v>
      </c>
      <c r="U21" s="15" t="s">
        <v>51</v>
      </c>
      <c r="V21" s="14" t="s">
        <v>225</v>
      </c>
      <c r="W21" s="15" t="s">
        <v>52</v>
      </c>
      <c r="X21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</v>
      </c>
      <c r="Y21" s="13"/>
    </row>
    <row r="22" spans="2:41">
      <c r="B22" s="57" t="s">
        <v>62</v>
      </c>
      <c r="C22" s="50" t="s">
        <v>31</v>
      </c>
      <c r="D22" s="64">
        <f>IF('Conversion Factors'!C41="kWh/m³",1/('Energy Convertor'!D6*3600000*1000000000),IF('Conversion Factors'!C41="Btu/ft³",0.028*(1/('Energy Convertor'!D6*IF('Energy Convertor'!D4="ISO (1055.06 J)",1055.06,1055)*1000000000)),IF('Energy Convertor'!D5="BP (3 d.p.)",(1/(IF('Energy Convertor'!D4="ISO (1055.06 J)",1055.06,1055))/1000000000000*0.029),((1/(IF('Energy Convertor'!D4="ISO (1055.06 J)",1055.06,1055))/1000000000000)*0.028))))</f>
        <v>2.7486588440467841E-17</v>
      </c>
      <c r="E22" s="58">
        <f>'Conversion Factors'!$L$3*'Conversion Factors'!D22</f>
        <v>2.8019323671497592E-2</v>
      </c>
      <c r="F22" s="59" t="str">
        <f>IF(E22&gt;1000000,IF('Energy Convertor'!J$10=1,TEXT(E22,"0"&amp;REPT("0",('Energy Convertor'!J$10-1))&amp;"E+0"),TEXT(E22,"0"&amp;"."&amp;REPT("0",('Energy Convertor'!J$10-1))&amp;"E+0")),IF(E22&lt;0.000001,IF('Energy Convertor'!J$10=1,TEXT(E22,"0"&amp;REPT("0",('Energy Convertor'!J$10-1))&amp;"E-0"),TEXT(E22,"0"&amp;"."&amp;REPT("0",('Energy Convertor'!J$10-1))&amp;"E-0")),TEXT(IF(E22&lt;0,"-","")&amp;LEFT(TEXT(ABS(E22),"0."&amp;REPT("0",'Energy Convertor'!J$10-1)&amp;"E+00"),'Energy Convertor'!J$10+1)*10^FLOOR(LOG10(TEXT(ABS(E22),"0."&amp;REPT("0",'Energy Convertor'!J$10-1)&amp;"E+00")),1),(""&amp;(IF(OR(AND(FLOOR(LOG10(TEXT(ABS(E22),"0."&amp;REPT("0",'Energy Convertor'!J$10-1)&amp;"E+00")),1)+1='Energy Convertor'!J$10,RIGHT(LEFT(TEXT(ABS(E22),"0."&amp;REPT("0",'Energy Convertor'!J$10-1)&amp;"E+00"),'Energy Convertor'!J$10+1)*10^FLOOR(LOG10(TEXT(ABS(E22),"0."&amp;REPT("0",'Energy Convertor'!J$10-1)&amp;"E+00")),1),1)="0"),LOG10(TEXT(ABS(E22),"0."&amp;REPT("0",'Energy Convertor'!J$10-1)&amp;"E+00"))&lt;='Energy Convertor'!J$10-1),"0.","#")&amp;REPT("0",IF('Energy Convertor'!J$10-1-(FLOOR(LOG10(TEXT(ABS(E22),"0."&amp;REPT("0",'Energy Convertor'!J$10-1)&amp;"E+00")),1))&gt;0,'Energy Convertor'!J$10-1-(FLOOR(LOG10(TEXT(ABS(E22),"0."&amp;REPT("0",'Energy Convertor'!J$10-1)&amp;"E+00")),1)),0)))))))</f>
        <v>0.028</v>
      </c>
      <c r="Q22" s="13"/>
      <c r="R22" s="13"/>
      <c r="S22" s="15" t="s">
        <v>240</v>
      </c>
      <c r="T22" s="13" t="str">
        <f t="shared" si="0"/>
        <v>billion cubic meters NG</v>
      </c>
      <c r="U22" s="15" t="s">
        <v>51</v>
      </c>
      <c r="V22" s="14" t="s">
        <v>226</v>
      </c>
      <c r="W22" s="15" t="s">
        <v>52</v>
      </c>
      <c r="X22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</v>
      </c>
      <c r="Y22" s="13"/>
    </row>
    <row r="23" spans="2:41">
      <c r="B23" s="57" t="s">
        <v>63</v>
      </c>
      <c r="C23" s="50" t="s">
        <v>23</v>
      </c>
      <c r="D23" s="64">
        <f>(IF('Conversion Factors'!C41="kWh/m³",IF('Energy Convertor'!D5="BP (3 d.p.)",35.315*(1/(('Energy Convertor'!D6*3600000*1000000000))),35.3*(1/(('Energy Convertor'!D6*3600000*1000000000)))),IF('Conversion Factors'!C41="Btu/ft³",1/('Energy Convertor'!D6*IF('Energy Convertor'!D4="ISO (1055.06 J)",1055.06,1055)*1000000000),IF('Energy Convertor'!D5="BP (3 d.p.)",((1/(IF('Energy Convertor'!D4="ISO (1055.06 J)",1055.06,1055))/1000000000000)*1.035),((1/(IF('Energy Convertor'!D4="ISO (1055.06 J)",1055.06,1055))/1000000000000)*0.99)))))*1000000000</f>
        <v>9.8098686330635202E-7</v>
      </c>
      <c r="E23" s="58">
        <f>'Conversion Factors'!$L$3*'Conversion Factors'!D23</f>
        <v>1000000000</v>
      </c>
      <c r="F23" s="59" t="str">
        <f>IF(E23&gt;1000000,IF('Energy Convertor'!J$10=1,TEXT(E23,"0"&amp;REPT("0",('Energy Convertor'!J$10-1))&amp;"E+0"),TEXT(E23,"0"&amp;"."&amp;REPT("0",('Energy Convertor'!J$10-1))&amp;"E+0")),IF(E23&lt;0.000001,IF('Energy Convertor'!J$10=1,TEXT(E23,"0"&amp;REPT("0",('Energy Convertor'!J$10-1))&amp;"E-0"),TEXT(E23,"0"&amp;"."&amp;REPT("0",('Energy Convertor'!J$10-1))&amp;"E-0")),TEXT(IF(E23&lt;0,"-","")&amp;LEFT(TEXT(ABS(E23),"0."&amp;REPT("0",'Energy Convertor'!J$10-1)&amp;"E+00"),'Energy Convertor'!J$10+1)*10^FLOOR(LOG10(TEXT(ABS(E23),"0."&amp;REPT("0",'Energy Convertor'!J$10-1)&amp;"E+00")),1),(""&amp;(IF(OR(AND(FLOOR(LOG10(TEXT(ABS(E23),"0."&amp;REPT("0",'Energy Convertor'!J$10-1)&amp;"E+00")),1)+1='Energy Convertor'!J$10,RIGHT(LEFT(TEXT(ABS(E23),"0."&amp;REPT("0",'Energy Convertor'!J$10-1)&amp;"E+00"),'Energy Convertor'!J$10+1)*10^FLOOR(LOG10(TEXT(ABS(E23),"0."&amp;REPT("0",'Energy Convertor'!J$10-1)&amp;"E+00")),1),1)="0"),LOG10(TEXT(ABS(E23),"0."&amp;REPT("0",'Energy Convertor'!J$10-1)&amp;"E+00"))&lt;='Energy Convertor'!J$10-1),"0.","#")&amp;REPT("0",IF('Energy Convertor'!J$10-1-(FLOOR(LOG10(TEXT(ABS(E23),"0."&amp;REPT("0",'Energy Convertor'!J$10-1)&amp;"E+00")),1))&gt;0,'Energy Convertor'!J$10-1-(FLOOR(LOG10(TEXT(ABS(E23),"0."&amp;REPT("0",'Energy Convertor'!J$10-1)&amp;"E+00")),1)),0)))))))</f>
        <v>1.0E+9</v>
      </c>
      <c r="Q23" s="13"/>
      <c r="R23" s="13"/>
      <c r="S23" s="15" t="s">
        <v>240</v>
      </c>
      <c r="T23" s="13" t="str">
        <f t="shared" si="0"/>
        <v>cubic foot NG</v>
      </c>
      <c r="U23" s="15" t="s">
        <v>51</v>
      </c>
      <c r="V23" s="14" t="s">
        <v>227</v>
      </c>
      <c r="W23" s="15" t="s">
        <v>52</v>
      </c>
      <c r="X23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</v>
      </c>
      <c r="Y23" s="13"/>
    </row>
    <row r="24" spans="2:41">
      <c r="B24" s="57" t="s">
        <v>64</v>
      </c>
      <c r="C24" s="50" t="s">
        <v>24</v>
      </c>
      <c r="D24" s="64">
        <f>(IF('Conversion Factors'!C41="kWh/m³",IF('Energy Convertor'!D5="BP (3 d.p.)",35.315*(1/(('Energy Convertor'!D6*3600000*1000000000))),35.3*(1/(('Energy Convertor'!D6*3600000*1000000000)))),IF('Conversion Factors'!C41="Btu/ft³",1/('Energy Convertor'!D6*IF('Energy Convertor'!D4="ISO (1055.06 J)",1055.06,1055)*1000000000),IF('Energy Convertor'!D5="BP (3 d.p.)",((1/(IF('Energy Convertor'!D4="ISO (1055.06 J)",1055.06,1055))/1000000000000)*1.035),((1/(IF('Energy Convertor'!D4="ISO (1055.06 J)",1055.06,1055))/1000000000000)*0.99)))))*1000000</f>
        <v>9.8098686330635218E-10</v>
      </c>
      <c r="E24" s="58">
        <f>'Conversion Factors'!$L$3*'Conversion Factors'!D24</f>
        <v>1000000.0000000001</v>
      </c>
      <c r="F24" s="59" t="str">
        <f>IF(E24&gt;1000000,IF('Energy Convertor'!J$10=1,TEXT(E24,"0"&amp;REPT("0",('Energy Convertor'!J$10-1))&amp;"E+0"),TEXT(E24,"0"&amp;"."&amp;REPT("0",('Energy Convertor'!J$10-1))&amp;"E+0")),IF(E24&lt;0.000001,IF('Energy Convertor'!J$10=1,TEXT(E24,"0"&amp;REPT("0",('Energy Convertor'!J$10-1))&amp;"E-0"),TEXT(E24,"0"&amp;"."&amp;REPT("0",('Energy Convertor'!J$10-1))&amp;"E-0")),TEXT(IF(E24&lt;0,"-","")&amp;LEFT(TEXT(ABS(E24),"0."&amp;REPT("0",'Energy Convertor'!J$10-1)&amp;"E+00"),'Energy Convertor'!J$10+1)*10^FLOOR(LOG10(TEXT(ABS(E24),"0."&amp;REPT("0",'Energy Convertor'!J$10-1)&amp;"E+00")),1),(""&amp;(IF(OR(AND(FLOOR(LOG10(TEXT(ABS(E24),"0."&amp;REPT("0",'Energy Convertor'!J$10-1)&amp;"E+00")),1)+1='Energy Convertor'!J$10,RIGHT(LEFT(TEXT(ABS(E24),"0."&amp;REPT("0",'Energy Convertor'!J$10-1)&amp;"E+00"),'Energy Convertor'!J$10+1)*10^FLOOR(LOG10(TEXT(ABS(E24),"0."&amp;REPT("0",'Energy Convertor'!J$10-1)&amp;"E+00")),1),1)="0"),LOG10(TEXT(ABS(E24),"0."&amp;REPT("0",'Energy Convertor'!J$10-1)&amp;"E+00"))&lt;='Energy Convertor'!J$10-1),"0.","#")&amp;REPT("0",IF('Energy Convertor'!J$10-1-(FLOOR(LOG10(TEXT(ABS(E24),"0."&amp;REPT("0",'Energy Convertor'!J$10-1)&amp;"E+00")),1))&gt;0,'Energy Convertor'!J$10-1-(FLOOR(LOG10(TEXT(ABS(E24),"0."&amp;REPT("0",'Energy Convertor'!J$10-1)&amp;"E+00")),1)),0)))))))</f>
        <v>1000000</v>
      </c>
      <c r="Q24" s="13"/>
      <c r="R24" s="13"/>
      <c r="S24" s="15" t="s">
        <v>240</v>
      </c>
      <c r="T24" s="13" t="str">
        <f t="shared" si="0"/>
        <v>thousand cubic feet NG</v>
      </c>
      <c r="U24" s="15" t="s">
        <v>51</v>
      </c>
      <c r="V24" s="14" t="s">
        <v>228</v>
      </c>
      <c r="W24" s="15" t="s">
        <v>52</v>
      </c>
      <c r="X24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</v>
      </c>
      <c r="Y24" s="13"/>
    </row>
    <row r="25" spans="2:41">
      <c r="B25" s="57" t="s">
        <v>65</v>
      </c>
      <c r="C25" s="50" t="s">
        <v>25</v>
      </c>
      <c r="D25" s="64">
        <f>(IF('Conversion Factors'!C41="kWh/m³",IF('Energy Convertor'!D5="BP (3 d.p.)",35.315*(1/(('Energy Convertor'!D6*3600000*1000000000))),35.3*(1/(('Energy Convertor'!D6*3600000*1000000000)))),IF('Conversion Factors'!C41="Btu/ft³",1/('Energy Convertor'!D6*IF('Energy Convertor'!D4="ISO (1055.06 J)",1055.06,1055)*1000000000),IF('Energy Convertor'!D5="BP (3 d.p.)",((1/(IF('Energy Convertor'!D4="ISO (1055.06 J)",1055.06,1055))/1000000000000)*1.035),((1/(IF('Energy Convertor'!D4="ISO (1055.06 J)",1055.06,1055))/1000000000000)*0.99)))))*1000</f>
        <v>9.8098686330635211E-13</v>
      </c>
      <c r="E25" s="58">
        <f>'Conversion Factors'!$L$3*'Conversion Factors'!D25</f>
        <v>1000.0000000000001</v>
      </c>
      <c r="F25" s="59" t="str">
        <f>IF(E25&gt;1000000,IF('Energy Convertor'!J$10=1,TEXT(E25,"0"&amp;REPT("0",('Energy Convertor'!J$10-1))&amp;"E+0"),TEXT(E25,"0"&amp;"."&amp;REPT("0",('Energy Convertor'!J$10-1))&amp;"E+0")),IF(E25&lt;0.000001,IF('Energy Convertor'!J$10=1,TEXT(E25,"0"&amp;REPT("0",('Energy Convertor'!J$10-1))&amp;"E-0"),TEXT(E25,"0"&amp;"."&amp;REPT("0",('Energy Convertor'!J$10-1))&amp;"E-0")),TEXT(IF(E25&lt;0,"-","")&amp;LEFT(TEXT(ABS(E25),"0."&amp;REPT("0",'Energy Convertor'!J$10-1)&amp;"E+00"),'Energy Convertor'!J$10+1)*10^FLOOR(LOG10(TEXT(ABS(E25),"0."&amp;REPT("0",'Energy Convertor'!J$10-1)&amp;"E+00")),1),(""&amp;(IF(OR(AND(FLOOR(LOG10(TEXT(ABS(E25),"0."&amp;REPT("0",'Energy Convertor'!J$10-1)&amp;"E+00")),1)+1='Energy Convertor'!J$10,RIGHT(LEFT(TEXT(ABS(E25),"0."&amp;REPT("0",'Energy Convertor'!J$10-1)&amp;"E+00"),'Energy Convertor'!J$10+1)*10^FLOOR(LOG10(TEXT(ABS(E25),"0."&amp;REPT("0",'Energy Convertor'!J$10-1)&amp;"E+00")),1),1)="0"),LOG10(TEXT(ABS(E25),"0."&amp;REPT("0",'Energy Convertor'!J$10-1)&amp;"E+00"))&lt;='Energy Convertor'!J$10-1),"0.","#")&amp;REPT("0",IF('Energy Convertor'!J$10-1-(FLOOR(LOG10(TEXT(ABS(E25),"0."&amp;REPT("0",'Energy Convertor'!J$10-1)&amp;"E+00")),1))&gt;0,'Energy Convertor'!J$10-1-(FLOOR(LOG10(TEXT(ABS(E25),"0."&amp;REPT("0",'Energy Convertor'!J$10-1)&amp;"E+00")),1)),0)))))))</f>
        <v>1000</v>
      </c>
      <c r="Q25" s="13"/>
      <c r="R25" s="13"/>
      <c r="S25" s="15" t="s">
        <v>240</v>
      </c>
      <c r="T25" s="13" t="str">
        <f t="shared" si="0"/>
        <v>million cubic feet NG</v>
      </c>
      <c r="U25" s="15" t="s">
        <v>51</v>
      </c>
      <c r="V25" s="14" t="s">
        <v>229</v>
      </c>
      <c r="W25" s="15" t="s">
        <v>52</v>
      </c>
      <c r="X25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</v>
      </c>
      <c r="Y25" s="13"/>
    </row>
    <row r="26" spans="2:41">
      <c r="B26" s="57" t="s">
        <v>66</v>
      </c>
      <c r="C26" s="50" t="s">
        <v>26</v>
      </c>
      <c r="D26" s="64">
        <f>IF('Conversion Factors'!C41="kWh/m³",IF('Energy Convertor'!D5="BP (3 d.p.)",35.315*(1/(('Energy Convertor'!D6*3600000*1000000000))),35.3*(1/(('Energy Convertor'!D6*3600000*1000000000)))),IF('Conversion Factors'!C41="Btu/ft³",1/('Energy Convertor'!D6*IF('Energy Convertor'!D4="ISO (1055.06 J)",1055.06,1055)*1000000000),IF('Energy Convertor'!D5="BP (3 d.p.)",((1/(IF('Energy Convertor'!D4="ISO (1055.06 J)",1055.06,1055))/1000000000000)*1.035),((1/(IF('Energy Convertor'!D4="ISO (1055.06 J)",1055.06,1055))/1000000000000)*0.99))))</f>
        <v>9.8098686330635209E-16</v>
      </c>
      <c r="E26" s="58">
        <f>'Conversion Factors'!$L$3*'Conversion Factors'!D26</f>
        <v>1</v>
      </c>
      <c r="F26" s="59" t="str">
        <f>IF(E26&gt;1000000,IF('Energy Convertor'!J$10=1,TEXT(E26,"0"&amp;REPT("0",('Energy Convertor'!J$10-1))&amp;"E+0"),TEXT(E26,"0"&amp;"."&amp;REPT("0",('Energy Convertor'!J$10-1))&amp;"E+0")),IF(E26&lt;0.000001,IF('Energy Convertor'!J$10=1,TEXT(E26,"0"&amp;REPT("0",('Energy Convertor'!J$10-1))&amp;"E-0"),TEXT(E26,"0"&amp;"."&amp;REPT("0",('Energy Convertor'!J$10-1))&amp;"E-0")),TEXT(IF(E26&lt;0,"-","")&amp;LEFT(TEXT(ABS(E26),"0."&amp;REPT("0",'Energy Convertor'!J$10-1)&amp;"E+00"),'Energy Convertor'!J$10+1)*10^FLOOR(LOG10(TEXT(ABS(E26),"0."&amp;REPT("0",'Energy Convertor'!J$10-1)&amp;"E+00")),1),(""&amp;(IF(OR(AND(FLOOR(LOG10(TEXT(ABS(E26),"0."&amp;REPT("0",'Energy Convertor'!J$10-1)&amp;"E+00")),1)+1='Energy Convertor'!J$10,RIGHT(LEFT(TEXT(ABS(E26),"0."&amp;REPT("0",'Energy Convertor'!J$10-1)&amp;"E+00"),'Energy Convertor'!J$10+1)*10^FLOOR(LOG10(TEXT(ABS(E26),"0."&amp;REPT("0",'Energy Convertor'!J$10-1)&amp;"E+00")),1),1)="0"),LOG10(TEXT(ABS(E26),"0."&amp;REPT("0",'Energy Convertor'!J$10-1)&amp;"E+00"))&lt;='Energy Convertor'!J$10-1),"0.","#")&amp;REPT("0",IF('Energy Convertor'!J$10-1-(FLOOR(LOG10(TEXT(ABS(E26),"0."&amp;REPT("0",'Energy Convertor'!J$10-1)&amp;"E+00")),1))&gt;0,'Energy Convertor'!J$10-1-(FLOOR(LOG10(TEXT(ABS(E26),"0."&amp;REPT("0",'Energy Convertor'!J$10-1)&amp;"E+00")),1)),0)))))))</f>
        <v>1.0</v>
      </c>
      <c r="Q26" s="13"/>
      <c r="R26" s="13"/>
      <c r="S26" s="15" t="s">
        <v>240</v>
      </c>
      <c r="T26" s="13" t="str">
        <f t="shared" si="0"/>
        <v>billion cubic feet NG</v>
      </c>
      <c r="U26" s="15" t="s">
        <v>51</v>
      </c>
      <c r="V26" s="14" t="s">
        <v>230</v>
      </c>
      <c r="W26" s="15" t="s">
        <v>52</v>
      </c>
      <c r="X26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</v>
      </c>
      <c r="Y26" s="13"/>
    </row>
    <row r="27" spans="2:41">
      <c r="B27" s="57" t="s">
        <v>67</v>
      </c>
      <c r="C27" s="50" t="s">
        <v>27</v>
      </c>
      <c r="D27" s="64">
        <f>(IF('Conversion Factors'!C41="kWh/m³",IF('Energy Convertor'!D5="BP (3 d.p.)",35.315*(1/(('Energy Convertor'!D6*3600000*1000000000))),35.3*(1/(('Energy Convertor'!D6*3600000*1000000000)))),IF('Conversion Factors'!C41="Btu/ft³",1/('Energy Convertor'!D6*IF('Energy Convertor'!D4="ISO (1055.06 J)",1055.06,1055)*1000000000),IF('Energy Convertor'!D5="BP (3 d.p.)",((1/(IF('Energy Convertor'!D4="ISO (1055.06 J)",1055.06,1055))/1000000000000)*1.035),((1/(IF('Energy Convertor'!D4="ISO (1055.06 J)",1055.06,1055))/1000000000000)*0.99)))))/1000</f>
        <v>9.8098686330635203E-19</v>
      </c>
      <c r="E27" s="58">
        <f>'Conversion Factors'!$L$3*'Conversion Factors'!D27</f>
        <v>1E-3</v>
      </c>
      <c r="F27" s="59" t="str">
        <f>IF(E27&gt;1000000,IF('Energy Convertor'!J$10=1,TEXT(E27,"0"&amp;REPT("0",('Energy Convertor'!J$10-1))&amp;"E+0"),TEXT(E27,"0"&amp;"."&amp;REPT("0",('Energy Convertor'!J$10-1))&amp;"E+0")),IF(E27&lt;0.000001,IF('Energy Convertor'!J$10=1,TEXT(E27,"0"&amp;REPT("0",('Energy Convertor'!J$10-1))&amp;"E-0"),TEXT(E27,"0"&amp;"."&amp;REPT("0",('Energy Convertor'!J$10-1))&amp;"E-0")),TEXT(IF(E27&lt;0,"-","")&amp;LEFT(TEXT(ABS(E27),"0."&amp;REPT("0",'Energy Convertor'!J$10-1)&amp;"E+00"),'Energy Convertor'!J$10+1)*10^FLOOR(LOG10(TEXT(ABS(E27),"0."&amp;REPT("0",'Energy Convertor'!J$10-1)&amp;"E+00")),1),(""&amp;(IF(OR(AND(FLOOR(LOG10(TEXT(ABS(E27),"0."&amp;REPT("0",'Energy Convertor'!J$10-1)&amp;"E+00")),1)+1='Energy Convertor'!J$10,RIGHT(LEFT(TEXT(ABS(E27),"0."&amp;REPT("0",'Energy Convertor'!J$10-1)&amp;"E+00"),'Energy Convertor'!J$10+1)*10^FLOOR(LOG10(TEXT(ABS(E27),"0."&amp;REPT("0",'Energy Convertor'!J$10-1)&amp;"E+00")),1),1)="0"),LOG10(TEXT(ABS(E27),"0."&amp;REPT("0",'Energy Convertor'!J$10-1)&amp;"E+00"))&lt;='Energy Convertor'!J$10-1),"0.","#")&amp;REPT("0",IF('Energy Convertor'!J$10-1-(FLOOR(LOG10(TEXT(ABS(E27),"0."&amp;REPT("0",'Energy Convertor'!J$10-1)&amp;"E+00")),1))&gt;0,'Energy Convertor'!J$10-1-(FLOOR(LOG10(TEXT(ABS(E27),"0."&amp;REPT("0",'Energy Convertor'!J$10-1)&amp;"E+00")),1)),0)))))))</f>
        <v>0.0010</v>
      </c>
      <c r="Q27" s="13"/>
      <c r="R27" s="13"/>
      <c r="S27" s="15" t="s">
        <v>240</v>
      </c>
      <c r="T27" s="13" t="str">
        <f t="shared" si="0"/>
        <v>trillion cubic feet NG</v>
      </c>
      <c r="U27" s="15" t="s">
        <v>51</v>
      </c>
      <c r="V27" s="14" t="s">
        <v>231</v>
      </c>
      <c r="W27" s="15" t="s">
        <v>52</v>
      </c>
      <c r="X27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</v>
      </c>
      <c r="Y27" s="13"/>
    </row>
    <row r="28" spans="2:41">
      <c r="B28" s="57" t="s">
        <v>68</v>
      </c>
      <c r="C28" s="50" t="s">
        <v>32</v>
      </c>
      <c r="D28" s="64">
        <f>IF('Conversion Factors'!C41="kWh/m³",IF('Energy Convertor'!D5="BP (3 d.p.)",5.883*(1/(('Energy Convertor'!D6*3600000*1000000000))),6.6*(1/(('Energy Convertor'!D6*3600000*1000000000)))),IF('Conversion Factors'!C41="Btu/ft³",IF('Energy Convertor'!D5="BP (3 d.p.)",0.167*(1/('Energy Convertor'!D6*IF('Energy Convertor'!D4="ISO (1055.06 J)",1055.06,1055)*1000000000)),0.19*(1/('Energy Convertor'!D6*IF('Energy Convertor'!D4="ISO (1055.06 J)",1055.06,1055)*1000000000))),IF('Energy Convertor'!D5="BP (3 d.p.)",((1/(IF('Energy Convertor'!D4="ISO (1055.06 J)",1055.06,1055))/1000000000000)*0.172),((1/(IF('Energy Convertor'!D4="ISO (1055.06 J)",1055.06,1055))/1000000000000)*0.18))))*1000000</f>
        <v>1.6302390385380924E-10</v>
      </c>
      <c r="E28" s="58">
        <f>'Conversion Factors'!$L$3*'Conversion Factors'!D28</f>
        <v>166183.57487922706</v>
      </c>
      <c r="F28" s="59" t="str">
        <f>IF(E28&gt;1000000,IF('Energy Convertor'!J$10=1,TEXT(E28,"0"&amp;REPT("0",('Energy Convertor'!J$10-1))&amp;"E+0"),TEXT(E28,"0"&amp;"."&amp;REPT("0",('Energy Convertor'!J$10-1))&amp;"E+0")),IF(E28&lt;0.000001,IF('Energy Convertor'!J$10=1,TEXT(E28,"0"&amp;REPT("0",('Energy Convertor'!J$10-1))&amp;"E-0"),TEXT(E28,"0"&amp;"."&amp;REPT("0",('Energy Convertor'!J$10-1))&amp;"E-0")),TEXT(IF(E28&lt;0,"-","")&amp;LEFT(TEXT(ABS(E28),"0."&amp;REPT("0",'Energy Convertor'!J$10-1)&amp;"E+00"),'Energy Convertor'!J$10+1)*10^FLOOR(LOG10(TEXT(ABS(E28),"0."&amp;REPT("0",'Energy Convertor'!J$10-1)&amp;"E+00")),1),(""&amp;(IF(OR(AND(FLOOR(LOG10(TEXT(ABS(E28),"0."&amp;REPT("0",'Energy Convertor'!J$10-1)&amp;"E+00")),1)+1='Energy Convertor'!J$10,RIGHT(LEFT(TEXT(ABS(E28),"0."&amp;REPT("0",'Energy Convertor'!J$10-1)&amp;"E+00"),'Energy Convertor'!J$10+1)*10^FLOOR(LOG10(TEXT(ABS(E28),"0."&amp;REPT("0",'Energy Convertor'!J$10-1)&amp;"E+00")),1),1)="0"),LOG10(TEXT(ABS(E28),"0."&amp;REPT("0",'Energy Convertor'!J$10-1)&amp;"E+00"))&lt;='Energy Convertor'!J$10-1),"0.","#")&amp;REPT("0",IF('Energy Convertor'!J$10-1-(FLOOR(LOG10(TEXT(ABS(E28),"0."&amp;REPT("0",'Energy Convertor'!J$10-1)&amp;"E+00")),1))&gt;0,'Energy Convertor'!J$10-1-(FLOOR(LOG10(TEXT(ABS(E28),"0."&amp;REPT("0",'Energy Convertor'!J$10-1)&amp;"E+00")),1)),0)))))))</f>
        <v>170000</v>
      </c>
      <c r="Q28" s="13"/>
      <c r="R28" s="13"/>
      <c r="S28" s="15" t="s">
        <v>240</v>
      </c>
      <c r="T28" s="13" t="str">
        <f t="shared" si="0"/>
        <v>barrel oil equivalent</v>
      </c>
      <c r="U28" s="15" t="s">
        <v>51</v>
      </c>
      <c r="V28" s="14" t="s">
        <v>232</v>
      </c>
      <c r="W28" s="15" t="s">
        <v>52</v>
      </c>
      <c r="X28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</v>
      </c>
      <c r="Y28" s="13"/>
    </row>
    <row r="29" spans="2:41">
      <c r="B29" s="57" t="s">
        <v>69</v>
      </c>
      <c r="C29" s="50" t="s">
        <v>33</v>
      </c>
      <c r="D29" s="64">
        <f>IF('Conversion Factors'!C41="kWh/m³",IF('Energy Convertor'!D5="BP (3 d.p.)",5.883*(1/(('Energy Convertor'!D6*3600000*1000000000))),6.6*(1/(('Energy Convertor'!D6*3600000*1000000000)))),IF('Conversion Factors'!C41="Btu/ft³",IF('Energy Convertor'!D5="BP (3 d.p.)",0.167*(1/('Energy Convertor'!D6*IF('Energy Convertor'!D4="ISO (1055.06 J)",1055.06,1055)*1000000000)),0.19*(1/('Energy Convertor'!D6*IF('Energy Convertor'!D4="ISO (1055.06 J)",1055.06,1055)*1000000000))),IF('Energy Convertor'!D5="BP (3 d.p.)",((1/(IF('Energy Convertor'!D4="ISO (1055.06 J)",1055.06,1055))/1000000000000)*0.172),((1/(IF('Energy Convertor'!D4="ISO (1055.06 J)",1055.06,1055))/1000000000000)*0.18))))</f>
        <v>1.6302390385380924E-16</v>
      </c>
      <c r="E29" s="58">
        <f>'Conversion Factors'!$L$3*'Conversion Factors'!D29</f>
        <v>0.16618357487922705</v>
      </c>
      <c r="F29" s="59" t="str">
        <f>IF(E29&gt;1000000,IF('Energy Convertor'!J$10=1,TEXT(E29,"0"&amp;REPT("0",('Energy Convertor'!J$10-1))&amp;"E+0"),TEXT(E29,"0"&amp;"."&amp;REPT("0",('Energy Convertor'!J$10-1))&amp;"E+0")),IF(E29&lt;0.000001,IF('Energy Convertor'!J$10=1,TEXT(E29,"0"&amp;REPT("0",('Energy Convertor'!J$10-1))&amp;"E-0"),TEXT(E29,"0"&amp;"."&amp;REPT("0",('Energy Convertor'!J$10-1))&amp;"E-0")),TEXT(IF(E29&lt;0,"-","")&amp;LEFT(TEXT(ABS(E29),"0."&amp;REPT("0",'Energy Convertor'!J$10-1)&amp;"E+00"),'Energy Convertor'!J$10+1)*10^FLOOR(LOG10(TEXT(ABS(E29),"0."&amp;REPT("0",'Energy Convertor'!J$10-1)&amp;"E+00")),1),(""&amp;(IF(OR(AND(FLOOR(LOG10(TEXT(ABS(E29),"0."&amp;REPT("0",'Energy Convertor'!J$10-1)&amp;"E+00")),1)+1='Energy Convertor'!J$10,RIGHT(LEFT(TEXT(ABS(E29),"0."&amp;REPT("0",'Energy Convertor'!J$10-1)&amp;"E+00"),'Energy Convertor'!J$10+1)*10^FLOOR(LOG10(TEXT(ABS(E29),"0."&amp;REPT("0",'Energy Convertor'!J$10-1)&amp;"E+00")),1),1)="0"),LOG10(TEXT(ABS(E29),"0."&amp;REPT("0",'Energy Convertor'!J$10-1)&amp;"E+00"))&lt;='Energy Convertor'!J$10-1),"0.","#")&amp;REPT("0",IF('Energy Convertor'!J$10-1-(FLOOR(LOG10(TEXT(ABS(E29),"0."&amp;REPT("0",'Energy Convertor'!J$10-1)&amp;"E+00")),1))&gt;0,'Energy Convertor'!J$10-1-(FLOOR(LOG10(TEXT(ABS(E29),"0."&amp;REPT("0",'Energy Convertor'!J$10-1)&amp;"E+00")),1)),0)))))))</f>
        <v>0.17</v>
      </c>
      <c r="Q29" s="13"/>
      <c r="R29" s="13"/>
      <c r="S29" s="15" t="s">
        <v>240</v>
      </c>
      <c r="T29" s="13" t="str">
        <f t="shared" si="0"/>
        <v>million barrels oil equivalent</v>
      </c>
      <c r="U29" s="15" t="s">
        <v>51</v>
      </c>
      <c r="V29" s="14" t="s">
        <v>233</v>
      </c>
      <c r="W29" s="15" t="s">
        <v>52</v>
      </c>
      <c r="X29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equivalent",D28,IF(Q3="million barrels oil equivalent",D29,</v>
      </c>
      <c r="Y29" s="13"/>
    </row>
    <row r="30" spans="2:41">
      <c r="B30" s="57" t="s">
        <v>70</v>
      </c>
      <c r="C30" s="50" t="s">
        <v>34</v>
      </c>
      <c r="D30" s="64">
        <f>(IF('Conversion Factors'!C41="kWh/m³",IF('Energy Convertor'!D5="BP (3 d.p.)",0.86*(1/('Energy Convertor'!D6*3600000*1000000000)),0.9*(1/(('Energy Convertor'!D6*3600000*1000000000)))),IF('Conversion Factors'!C41="Btu/ft³",IF('Energy Convertor'!D5="BP (3 d.p.)",0.024*(1/('Energy Convertor'!D6*IF('Energy Convertor'!D4="ISO (1055.06 J)",1055.06,1055)*1000000000)),0.025*(1/('Energy Convertor'!D6*IF('Energy Convertor'!D4="ISO (1055.06 J)",1055.06,1055)*1000000000))),((1/(IF('Energy Convertor'!D4="ISO (1055.06 J)",1055.06,1055))/1000000000000)*0.025))))*1000000</f>
        <v>2.3695334862472277E-11</v>
      </c>
      <c r="E30" s="58">
        <f>'Conversion Factors'!$L$3*'Conversion Factors'!D30</f>
        <v>24154.589371980681</v>
      </c>
      <c r="F30" s="59" t="str">
        <f>IF(E30&gt;1000000,IF('Energy Convertor'!J$10=1,TEXT(E30,"0"&amp;REPT("0",('Energy Convertor'!J$10-1))&amp;"E+0"),TEXT(E30,"0"&amp;"."&amp;REPT("0",('Energy Convertor'!J$10-1))&amp;"E+0")),IF(E30&lt;0.000001,IF('Energy Convertor'!J$10=1,TEXT(E30,"0"&amp;REPT("0",('Energy Convertor'!J$10-1))&amp;"E-0"),TEXT(E30,"0"&amp;"."&amp;REPT("0",('Energy Convertor'!J$10-1))&amp;"E-0")),TEXT(IF(E30&lt;0,"-","")&amp;LEFT(TEXT(ABS(E30),"0."&amp;REPT("0",'Energy Convertor'!J$10-1)&amp;"E+00"),'Energy Convertor'!J$10+1)*10^FLOOR(LOG10(TEXT(ABS(E30),"0."&amp;REPT("0",'Energy Convertor'!J$10-1)&amp;"E+00")),1),(""&amp;(IF(OR(AND(FLOOR(LOG10(TEXT(ABS(E30),"0."&amp;REPT("0",'Energy Convertor'!J$10-1)&amp;"E+00")),1)+1='Energy Convertor'!J$10,RIGHT(LEFT(TEXT(ABS(E30),"0."&amp;REPT("0",'Energy Convertor'!J$10-1)&amp;"E+00"),'Energy Convertor'!J$10+1)*10^FLOOR(LOG10(TEXT(ABS(E30),"0."&amp;REPT("0",'Energy Convertor'!J$10-1)&amp;"E+00")),1),1)="0"),LOG10(TEXT(ABS(E30),"0."&amp;REPT("0",'Energy Convertor'!J$10-1)&amp;"E+00"))&lt;='Energy Convertor'!J$10-1),"0.","#")&amp;REPT("0",IF('Energy Convertor'!J$10-1-(FLOOR(LOG10(TEXT(ABS(E30),"0."&amp;REPT("0",'Energy Convertor'!J$10-1)&amp;"E+00")),1))&gt;0,'Energy Convertor'!J$10-1-(FLOOR(LOG10(TEXT(ABS(E30),"0."&amp;REPT("0",'Energy Convertor'!J$10-1)&amp;"E+00")),1)),0)))))))</f>
        <v>24000</v>
      </c>
      <c r="Q30" s="13"/>
      <c r="R30" s="13"/>
      <c r="S30" s="15" t="s">
        <v>240</v>
      </c>
      <c r="T30" s="13" t="str">
        <f t="shared" si="0"/>
        <v>tonne oil equivalent</v>
      </c>
      <c r="U30" s="15" t="s">
        <v>51</v>
      </c>
      <c r="V30" s="14" t="s">
        <v>234</v>
      </c>
      <c r="W30" s="15" t="s">
        <v>52</v>
      </c>
      <c r="X30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equivalent",D28,IF(Q3="million barrels oil equivalent",D29,IF(Q3="tonne oil equivalent",D30,</v>
      </c>
      <c r="Y30" s="13"/>
    </row>
    <row r="31" spans="2:41">
      <c r="B31" s="57" t="s">
        <v>71</v>
      </c>
      <c r="C31" s="50" t="s">
        <v>35</v>
      </c>
      <c r="D31" s="66">
        <f>IF('Conversion Factors'!C41="kWh/m³",IF('Energy Convertor'!D5="BP (3 d.p.)",0.86*(1/('Energy Convertor'!D6*3600000*1000000000)),0.9*(1/(('Energy Convertor'!D6*3600000*1000000000)))),IF('Conversion Factors'!C41="Btu/ft³",IF('Energy Convertor'!D5="BP (3 d.p.)",0.024*(1/('Energy Convertor'!D6*IF('Energy Convertor'!D4="ISO (1055.06 J)",1055.06,1055)*1000000000)),0.025*(1/('Energy Convertor'!D6*IF('Energy Convertor'!D4="ISO (1055.06 J)",1055.06,1055)*1000000000))),((1/(IF('Energy Convertor'!D4="ISO (1055.06 J)",1055.06,1055))/1000000000000)*0.025)))</f>
        <v>2.3695334862472277E-17</v>
      </c>
      <c r="E31" s="58">
        <f>'Conversion Factors'!$L$3*'Conversion Factors'!D31</f>
        <v>2.4154589371980683E-2</v>
      </c>
      <c r="F31" s="59" t="str">
        <f>IF(E31&gt;1000000,IF('Energy Convertor'!J$10=1,TEXT(E31,"0"&amp;REPT("0",('Energy Convertor'!J$10-1))&amp;"E+0"),TEXT(E31,"0"&amp;"."&amp;REPT("0",('Energy Convertor'!J$10-1))&amp;"E+0")),IF(E31&lt;0.000001,IF('Energy Convertor'!J$10=1,TEXT(E31,"0"&amp;REPT("0",('Energy Convertor'!J$10-1))&amp;"E-0"),TEXT(E31,"0"&amp;"."&amp;REPT("0",('Energy Convertor'!J$10-1))&amp;"E-0")),TEXT(IF(E31&lt;0,"-","")&amp;LEFT(TEXT(ABS(E31),"0."&amp;REPT("0",'Energy Convertor'!J$10-1)&amp;"E+00"),'Energy Convertor'!J$10+1)*10^FLOOR(LOG10(TEXT(ABS(E31),"0."&amp;REPT("0",'Energy Convertor'!J$10-1)&amp;"E+00")),1),(""&amp;(IF(OR(AND(FLOOR(LOG10(TEXT(ABS(E31),"0."&amp;REPT("0",'Energy Convertor'!J$10-1)&amp;"E+00")),1)+1='Energy Convertor'!J$10,RIGHT(LEFT(TEXT(ABS(E31),"0."&amp;REPT("0",'Energy Convertor'!J$10-1)&amp;"E+00"),'Energy Convertor'!J$10+1)*10^FLOOR(LOG10(TEXT(ABS(E31),"0."&amp;REPT("0",'Energy Convertor'!J$10-1)&amp;"E+00")),1),1)="0"),LOG10(TEXT(ABS(E31),"0."&amp;REPT("0",'Energy Convertor'!J$10-1)&amp;"E+00"))&lt;='Energy Convertor'!J$10-1),"0.","#")&amp;REPT("0",IF('Energy Convertor'!J$10-1-(FLOOR(LOG10(TEXT(ABS(E31),"0."&amp;REPT("0",'Energy Convertor'!J$10-1)&amp;"E+00")),1))&gt;0,'Energy Convertor'!J$10-1-(FLOOR(LOG10(TEXT(ABS(E31),"0."&amp;REPT("0",'Energy Convertor'!J$10-1)&amp;"E+00")),1)),0)))))))</f>
        <v>0.024</v>
      </c>
      <c r="Q31" s="13"/>
      <c r="R31" s="13"/>
      <c r="S31" s="15" t="s">
        <v>240</v>
      </c>
      <c r="T31" s="13" t="str">
        <f t="shared" si="0"/>
        <v>million tonnes oil equivalent</v>
      </c>
      <c r="U31" s="15" t="s">
        <v>51</v>
      </c>
      <c r="V31" s="14" t="s">
        <v>235</v>
      </c>
      <c r="W31" s="15" t="s">
        <v>52</v>
      </c>
      <c r="X31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equivalent",D28,IF(Q3="million barrels oil equivalent",D29,IF(Q3="tonne oil equivalent",D30,IF(Q3="million tonnes oil equivalent",D31,</v>
      </c>
      <c r="Y31" s="13"/>
    </row>
    <row r="32" spans="2:41">
      <c r="B32" s="57" t="s">
        <v>72</v>
      </c>
      <c r="C32" s="50" t="s">
        <v>36</v>
      </c>
      <c r="D32" s="64">
        <f>(IF('Conversion Factors'!C41=FALSE,((1/(IF('Energy Convertor'!D4="ISO (1055.06 J)",1055.06,1055))/1000000000000)*(0.025/1.5)),IF('Conversion Factors'!C41="kWh/m³",IF('Energy Convertor'!D5="BP (3 d.p.)",(0.86/1.5)*(1/(('Energy Convertor'!D6*3600000*1000000000))),(0.9/1.5)*(1/(('Energy Convertor'!D6*3600000*1000000000)))),IF('Conversion Factors'!C41="Btu/ft³",(0.024/1.5)*(1/('Energy Convertor'!D6*IF('Energy Convertor'!D4="ISO (1055.06 J)",1055.06,1055)*1000000000)),IF('Energy Convertor'!D5="BP (3 d.p.)",(0.025/1.5)*(1/('Energy Convertor'!D6*IF('Energy Convertor'!D4="ISO (1055.06 J)",1055.06,1055)*1000000000)),((1/(IF('Energy Convertor'!D4="ISO (1055.06 J)",1055.06,1055))/1000000000000)*(0.025/1.5)))))))*1000000</f>
        <v>1.579688990831485E-11</v>
      </c>
      <c r="E32" s="58">
        <f>'Conversion Factors'!$L$3*'Conversion Factors'!D32</f>
        <v>16103.059581320453</v>
      </c>
      <c r="F32" s="59" t="str">
        <f>IF(E32&gt;1000000,IF('Energy Convertor'!J$10=1,TEXT(E32,"0"&amp;REPT("0",('Energy Convertor'!J$10-1))&amp;"E+0"),TEXT(E32,"0"&amp;"."&amp;REPT("0",('Energy Convertor'!J$10-1))&amp;"E+0")),IF(E32&lt;0.000001,IF('Energy Convertor'!J$10=1,TEXT(E32,"0"&amp;REPT("0",('Energy Convertor'!J$10-1))&amp;"E-0"),TEXT(E32,"0"&amp;"."&amp;REPT("0",('Energy Convertor'!J$10-1))&amp;"E-0")),TEXT(IF(E32&lt;0,"-","")&amp;LEFT(TEXT(ABS(E32),"0."&amp;REPT("0",'Energy Convertor'!J$10-1)&amp;"E+00"),'Energy Convertor'!J$10+1)*10^FLOOR(LOG10(TEXT(ABS(E32),"0."&amp;REPT("0",'Energy Convertor'!J$10-1)&amp;"E+00")),1),(""&amp;(IF(OR(AND(FLOOR(LOG10(TEXT(ABS(E32),"0."&amp;REPT("0",'Energy Convertor'!J$10-1)&amp;"E+00")),1)+1='Energy Convertor'!J$10,RIGHT(LEFT(TEXT(ABS(E32),"0."&amp;REPT("0",'Energy Convertor'!J$10-1)&amp;"E+00"),'Energy Convertor'!J$10+1)*10^FLOOR(LOG10(TEXT(ABS(E32),"0."&amp;REPT("0",'Energy Convertor'!J$10-1)&amp;"E+00")),1),1)="0"),LOG10(TEXT(ABS(E32),"0."&amp;REPT("0",'Energy Convertor'!J$10-1)&amp;"E+00"))&lt;='Energy Convertor'!J$10-1),"0.","#")&amp;REPT("0",IF('Energy Convertor'!J$10-1-(FLOOR(LOG10(TEXT(ABS(E32),"0."&amp;REPT("0",'Energy Convertor'!J$10-1)&amp;"E+00")),1))&gt;0,'Energy Convertor'!J$10-1-(FLOOR(LOG10(TEXT(ABS(E32),"0."&amp;REPT("0",'Energy Convertor'!J$10-1)&amp;"E+00")),1)),0)))))))</f>
        <v>16000</v>
      </c>
      <c r="Q32" s="13"/>
      <c r="R32" s="13"/>
      <c r="S32" s="15" t="s">
        <v>240</v>
      </c>
      <c r="T32" s="13" t="str">
        <f t="shared" si="0"/>
        <v>tonne hard coal equivalent</v>
      </c>
      <c r="U32" s="15" t="s">
        <v>51</v>
      </c>
      <c r="V32" s="14" t="s">
        <v>236</v>
      </c>
      <c r="W32" s="15" t="s">
        <v>52</v>
      </c>
      <c r="X32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equivalent",D28,IF(Q3="million barrels oil equivalent",D29,IF(Q3="tonne oil equivalent",D30,IF(Q3="million tonnes oil equivalent",D31,IF(Q3="tonne hard coal equivalent",D32,</v>
      </c>
      <c r="Y32" s="13"/>
    </row>
    <row r="33" spans="2:25">
      <c r="B33" s="57" t="s">
        <v>73</v>
      </c>
      <c r="C33" s="50" t="s">
        <v>37</v>
      </c>
      <c r="D33" s="64">
        <f>IF('Conversion Factors'!C41=FALSE,((1/(IF('Energy Convertor'!D4="ISO (1055.06 J)",1055.06,1055))/1000000000000)*(0.025/1.5)),IF('Conversion Factors'!C41="kWh/m³",IF('Energy Convertor'!D5="BP (3 d.p.)",(0.86/1.5)*(1/(('Energy Convertor'!D6*3600000*1000000000))),(0.9/1.5)*(1/(('Energy Convertor'!D6*3600000*1000000000)))),IF('Conversion Factors'!C41="Btu/ft³",(0.024/1.5)*(1/('Energy Convertor'!D6*IF('Energy Convertor'!D4="ISO (1055.06 J)",1055.06,1055)*1000000000)),IF('Energy Convertor'!D5="BP (3 d.p.)",(0.025/1.5)*(1/('Energy Convertor'!D6*IF('Energy Convertor'!D4="ISO (1055.06 J)",1055.06,1055)*1000000000)),((1/(IF('Energy Convertor'!D4="ISO (1055.06 J)",1055.06,1055))/1000000000000)*(0.025/1.5))))))</f>
        <v>1.5796889908314849E-17</v>
      </c>
      <c r="E33" s="58">
        <f>'Conversion Factors'!$L$3*'Conversion Factors'!D33</f>
        <v>1.6103059581320453E-2</v>
      </c>
      <c r="F33" s="59" t="str">
        <f>IF(E33&gt;1000000,IF('Energy Convertor'!J$10=1,TEXT(E33,"0"&amp;REPT("0",('Energy Convertor'!J$10-1))&amp;"E+0"),TEXT(E33,"0"&amp;"."&amp;REPT("0",('Energy Convertor'!J$10-1))&amp;"E+0")),IF(E33&lt;0.000001,IF('Energy Convertor'!J$10=1,TEXT(E33,"0"&amp;REPT("0",('Energy Convertor'!J$10-1))&amp;"E-0"),TEXT(E33,"0"&amp;"."&amp;REPT("0",('Energy Convertor'!J$10-1))&amp;"E-0")),TEXT(IF(E33&lt;0,"-","")&amp;LEFT(TEXT(ABS(E33),"0."&amp;REPT("0",'Energy Convertor'!J$10-1)&amp;"E+00"),'Energy Convertor'!J$10+1)*10^FLOOR(LOG10(TEXT(ABS(E33),"0."&amp;REPT("0",'Energy Convertor'!J$10-1)&amp;"E+00")),1),(""&amp;(IF(OR(AND(FLOOR(LOG10(TEXT(ABS(E33),"0."&amp;REPT("0",'Energy Convertor'!J$10-1)&amp;"E+00")),1)+1='Energy Convertor'!J$10,RIGHT(LEFT(TEXT(ABS(E33),"0."&amp;REPT("0",'Energy Convertor'!J$10-1)&amp;"E+00"),'Energy Convertor'!J$10+1)*10^FLOOR(LOG10(TEXT(ABS(E33),"0."&amp;REPT("0",'Energy Convertor'!J$10-1)&amp;"E+00")),1),1)="0"),LOG10(TEXT(ABS(E33),"0."&amp;REPT("0",'Energy Convertor'!J$10-1)&amp;"E+00"))&lt;='Energy Convertor'!J$10-1),"0.","#")&amp;REPT("0",IF('Energy Convertor'!J$10-1-(FLOOR(LOG10(TEXT(ABS(E33),"0."&amp;REPT("0",'Energy Convertor'!J$10-1)&amp;"E+00")),1))&gt;0,'Energy Convertor'!J$10-1-(FLOOR(LOG10(TEXT(ABS(E33),"0."&amp;REPT("0",'Energy Convertor'!J$10-1)&amp;"E+00")),1)),0)))))))</f>
        <v>0.016</v>
      </c>
      <c r="Q33" s="13"/>
      <c r="R33" s="13"/>
      <c r="S33" s="15" t="s">
        <v>240</v>
      </c>
      <c r="T33" s="13" t="str">
        <f t="shared" si="0"/>
        <v>million tonnes hard coal equivalent</v>
      </c>
      <c r="U33" s="15" t="s">
        <v>51</v>
      </c>
      <c r="V33" s="14" t="s">
        <v>237</v>
      </c>
      <c r="W33" s="15" t="s">
        <v>52</v>
      </c>
      <c r="X33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equivalent",D28,IF(Q3="million barrels oil equivalent",D29,IF(Q3="tonne oil equivalent",D30,IF(Q3="million tonnes oil equivalent",D31,IF(Q3="tonne hard coal equivalent",D32,IF(Q3="million tonnes hard coal equivalent",D33,</v>
      </c>
      <c r="Y33" s="13"/>
    </row>
    <row r="34" spans="2:25">
      <c r="B34" s="57" t="s">
        <v>74</v>
      </c>
      <c r="C34" s="50" t="s">
        <v>47</v>
      </c>
      <c r="D34" s="64">
        <f>(IF('Conversion Factors'!C41="kWh/m³",IF('Energy Convertor'!D5="BP (3 d.p.)",0.86*(1/('Energy Convertor'!D6*3600000*1000000000)),0.9*(1/(('Energy Convertor'!D6*3600000*1000000000)))),IF('Conversion Factors'!C41="Btu/ft³",IF('Energy Convertor'!D5="BP (3 d.p.)",0.021*(1/('Energy Convertor'!D6*IF('Energy Convertor'!D4="ISO (1055.06 J)",1055.06,1055)*1000000000)),0.021*(1/('Energy Convertor'!D6*IF('Energy Convertor'!D4="ISO (1055.06 J)",1055.06,1055)*1000000000))),((1/1000/1000000000000)*0.021))))*1000000</f>
        <v>2.1000000000000002E-11</v>
      </c>
      <c r="E34" s="58">
        <f>'Conversion Factors'!$L$3*'Conversion Factors'!D34</f>
        <v>21407.014492753628</v>
      </c>
      <c r="F34" s="59" t="str">
        <f>IF(E34&gt;1000000,IF('Energy Convertor'!J$10=1,TEXT(E34,"0"&amp;REPT("0",('Energy Convertor'!J$10-1))&amp;"E+0"),TEXT(E34,"0"&amp;"."&amp;REPT("0",('Energy Convertor'!J$10-1))&amp;"E+0")),IF(E34&lt;0.000001,IF('Energy Convertor'!J$10=1,TEXT(E34,"0"&amp;REPT("0",('Energy Convertor'!J$10-1))&amp;"E-0"),TEXT(E34,"0"&amp;"."&amp;REPT("0",('Energy Convertor'!J$10-1))&amp;"E-0")),TEXT(IF(E34&lt;0,"-","")&amp;LEFT(TEXT(ABS(E34),"0."&amp;REPT("0",'Energy Convertor'!J$10-1)&amp;"E+00"),'Energy Convertor'!J$10+1)*10^FLOOR(LOG10(TEXT(ABS(E34),"0."&amp;REPT("0",'Energy Convertor'!J$10-1)&amp;"E+00")),1),(""&amp;(IF(OR(AND(FLOOR(LOG10(TEXT(ABS(E34),"0."&amp;REPT("0",'Energy Convertor'!J$10-1)&amp;"E+00")),1)+1='Energy Convertor'!J$10,RIGHT(LEFT(TEXT(ABS(E34),"0."&amp;REPT("0",'Energy Convertor'!J$10-1)&amp;"E+00"),'Energy Convertor'!J$10+1)*10^FLOOR(LOG10(TEXT(ABS(E34),"0."&amp;REPT("0",'Energy Convertor'!J$10-1)&amp;"E+00")),1),1)="0"),LOG10(TEXT(ABS(E34),"0."&amp;REPT("0",'Energy Convertor'!J$10-1)&amp;"E+00"))&lt;='Energy Convertor'!J$10-1),"0.","#")&amp;REPT("0",IF('Energy Convertor'!J$10-1-(FLOOR(LOG10(TEXT(ABS(E34),"0."&amp;REPT("0",'Energy Convertor'!J$10-1)&amp;"E+00")),1))&gt;0,'Energy Convertor'!J$10-1-(FLOOR(LOG10(TEXT(ABS(E34),"0."&amp;REPT("0",'Energy Convertor'!J$10-1)&amp;"E+00")),1)),0)))))))</f>
        <v>21000</v>
      </c>
      <c r="Q34" s="13"/>
      <c r="R34" s="13"/>
      <c r="S34" s="15" t="s">
        <v>240</v>
      </c>
      <c r="T34" s="13" t="str">
        <f t="shared" si="0"/>
        <v>tonne LNG</v>
      </c>
      <c r="U34" s="15" t="s">
        <v>51</v>
      </c>
      <c r="V34" s="14" t="s">
        <v>238</v>
      </c>
      <c r="W34" s="15" t="s">
        <v>52</v>
      </c>
      <c r="X34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equivalent",D28,IF(Q3="million barrels oil equivalent",D29,IF(Q3="tonne oil equivalent",D30,IF(Q3="million tonnes oil equivalent",D31,IF(Q3="tonne hard coal equivalent",D32,IF(Q3="million tonnes hard coal equivalent",D33,IF(Q3="tonne LNG",D34,</v>
      </c>
      <c r="Y34" s="13"/>
    </row>
    <row r="35" spans="2:25">
      <c r="B35" s="57" t="s">
        <v>75</v>
      </c>
      <c r="C35" s="50" t="s">
        <v>48</v>
      </c>
      <c r="D35" s="64">
        <f>IF('Conversion Factors'!C41="kWh/m³",IF('Energy Convertor'!D5="BP (3 d.p.)",0.86*(1/('Energy Convertor'!D6*3600000*1000000000)),0.9*(1/(('Energy Convertor'!D6*3600000*1000000000)))),IF('Conversion Factors'!C41="Btu/ft³",IF('Energy Convertor'!D5="BP (3 d.p.)",0.021*(1/('Energy Convertor'!D6*IF('Energy Convertor'!D4="ISO (1055.06 J)",1055.06,1055)*1000000000)),0.021*(1/('Energy Convertor'!D6*IF('Energy Convertor'!D4="ISO (1055.06 J)",1055.06,1055)*1000000000))),((1/1000/1000000000000)*0.021)))</f>
        <v>2.1000000000000002E-17</v>
      </c>
      <c r="E35" s="58">
        <f>'Conversion Factors'!$L$3*'Conversion Factors'!D35</f>
        <v>2.1407014492753628E-2</v>
      </c>
      <c r="F35" s="59" t="str">
        <f>IF(E35&gt;1000000,IF('Energy Convertor'!J$10=1,TEXT(E35,"0"&amp;REPT("0",('Energy Convertor'!J$10-1))&amp;"E+0"),TEXT(E35,"0"&amp;"."&amp;REPT("0",('Energy Convertor'!J$10-1))&amp;"E+0")),IF(E35&lt;0.000001,IF('Energy Convertor'!J$10=1,TEXT(E35,"0"&amp;REPT("0",('Energy Convertor'!J$10-1))&amp;"E-0"),TEXT(E35,"0"&amp;"."&amp;REPT("0",('Energy Convertor'!J$10-1))&amp;"E-0")),TEXT(IF(E35&lt;0,"-","")&amp;LEFT(TEXT(ABS(E35),"0."&amp;REPT("0",'Energy Convertor'!J$10-1)&amp;"E+00"),'Energy Convertor'!J$10+1)*10^FLOOR(LOG10(TEXT(ABS(E35),"0."&amp;REPT("0",'Energy Convertor'!J$10-1)&amp;"E+00")),1),(""&amp;(IF(OR(AND(FLOOR(LOG10(TEXT(ABS(E35),"0."&amp;REPT("0",'Energy Convertor'!J$10-1)&amp;"E+00")),1)+1='Energy Convertor'!J$10,RIGHT(LEFT(TEXT(ABS(E35),"0."&amp;REPT("0",'Energy Convertor'!J$10-1)&amp;"E+00"),'Energy Convertor'!J$10+1)*10^FLOOR(LOG10(TEXT(ABS(E35),"0."&amp;REPT("0",'Energy Convertor'!J$10-1)&amp;"E+00")),1),1)="0"),LOG10(TEXT(ABS(E35),"0."&amp;REPT("0",'Energy Convertor'!J$10-1)&amp;"E+00"))&lt;='Energy Convertor'!J$10-1),"0.","#")&amp;REPT("0",IF('Energy Convertor'!J$10-1-(FLOOR(LOG10(TEXT(ABS(E35),"0."&amp;REPT("0",'Energy Convertor'!J$10-1)&amp;"E+00")),1))&gt;0,'Energy Convertor'!J$10-1-(FLOOR(LOG10(TEXT(ABS(E35),"0."&amp;REPT("0",'Energy Convertor'!J$10-1)&amp;"E+00")),1)),0)))))))</f>
        <v>0.021</v>
      </c>
      <c r="Q35" s="13"/>
      <c r="R35" s="13"/>
      <c r="S35" s="15" t="s">
        <v>240</v>
      </c>
      <c r="T35" s="13" t="str">
        <f t="shared" si="0"/>
        <v>million tonnes LNG</v>
      </c>
      <c r="U35" s="15" t="s">
        <v>51</v>
      </c>
      <c r="V35" s="14" t="s">
        <v>239</v>
      </c>
      <c r="W35" s="15" t="s">
        <v>52</v>
      </c>
      <c r="X35" s="13" t="str">
        <f t="shared" si="1"/>
        <v>IF(Q3="joule",D3,IF(Q3="kilojoule",D4,IF(Q3="megajoule",D5,IF(Q3="gigajoule",D6,IF(Q3="petajoule",D7,IF(Q3="kilocalorie",D8,IF(Q3="gigacalorie",D9,IF(Q3="petacalorie",D10,IF(Q3="kilowatt/hours",D11,IF(Q3="megawatt/hours",D12,IF(Q3="gigawatt/hours",D13,IF(Q3="terawatt/hours",D14,IF(Q3="British thermal units",D15,IF(Q3="therms",D16,IF(Q3="decatherms",D17,IF(Q3="million therms",D18,IF(Q3="cubic meter NG",D19,IF(Q3="thousand cubic meters  NG",D20,IF(Q3="million cubic meters NG",D21,IF(Q3="billion cubic meters NG",D22,IF(Q3="cubic foot NG",D23,IF(Q3="thousand cubic feet NG",D24,IF(Q3="million cubic feet NG",D25,IF(Q3="billion cubic feet NG",D26,IF(Q3="trillion cubic feet NG",D27,IF(Q3="barrel oil equivalent",D28,IF(Q3="million barrels oil equivalent",D29,IF(Q3="tonne oil equivalent",D30,IF(Q3="million tonnes oil equivalent",D31,IF(Q3="tonne hard coal equivalent",D32,IF(Q3="million tonnes hard coal equivalent",D33,IF(Q3="tonne LNG",D34,IF(Q3="million tonnes LNG",D35,</v>
      </c>
      <c r="Y35" s="13"/>
    </row>
    <row r="36" spans="2:25" ht="17" thickBot="1">
      <c r="B36" s="155" t="s">
        <v>45</v>
      </c>
      <c r="C36" s="156"/>
      <c r="D36" s="156"/>
      <c r="E36" s="156"/>
      <c r="F36" s="157"/>
    </row>
    <row r="37" spans="2:25" ht="100" customHeight="1">
      <c r="X37" s="13" t="s">
        <v>111</v>
      </c>
    </row>
    <row r="38" spans="2:25" hidden="1">
      <c r="B38" s="13" t="s">
        <v>76</v>
      </c>
      <c r="C38" s="13" t="str">
        <f>IF('Energy Convertor'!D4="BP / QP (1055 J)", "BP/QP", "ISO")</f>
        <v>ISO</v>
      </c>
      <c r="K38" s="1"/>
      <c r="L38" s="1"/>
      <c r="M38" s="1"/>
      <c r="N38" s="1"/>
      <c r="O38" s="1"/>
      <c r="X38" s="13" t="e">
        <f>X35&amp;#REF!&amp;X37</f>
        <v>#REF!</v>
      </c>
    </row>
    <row r="39" spans="2:25" hidden="1">
      <c r="B39" s="13" t="s">
        <v>94</v>
      </c>
      <c r="C39" s="13" t="str">
        <f>IF('Energy Convertor'!D5="BP (3 d.p.)", "BP","QP")</f>
        <v>BP</v>
      </c>
      <c r="K39" s="1"/>
      <c r="L39" s="1"/>
      <c r="M39" s="1"/>
      <c r="N39" s="1"/>
      <c r="O39" s="1"/>
      <c r="X39" s="13" t="e">
        <f>X38</f>
        <v>#REF!</v>
      </c>
    </row>
    <row r="40" spans="2:25" hidden="1">
      <c r="B40" s="13" t="s">
        <v>112</v>
      </c>
      <c r="C40" s="29" t="b">
        <v>0</v>
      </c>
      <c r="K40" s="1"/>
      <c r="L40" s="1"/>
      <c r="M40" s="1"/>
      <c r="N40" s="1"/>
      <c r="O40" s="1"/>
      <c r="X40" s="13" t="e" cm="1">
        <f t="array" aca="1" ref="X40" ca="1">INDIRECT(X38)</f>
        <v>#REF!</v>
      </c>
    </row>
    <row r="41" spans="2:25" hidden="1">
      <c r="C41" s="16" t="b">
        <f>IF(C40=FALSE, FALSE, 'Energy Convertor'!E6)</f>
        <v>0</v>
      </c>
      <c r="K41" s="1"/>
      <c r="L41" s="1"/>
      <c r="M41" s="1"/>
      <c r="N41" s="1"/>
      <c r="O41" s="1"/>
    </row>
    <row r="42" spans="2:25" hidden="1"/>
    <row r="43" spans="2:25" hidden="1">
      <c r="B43" s="13" t="s">
        <v>80</v>
      </c>
    </row>
    <row r="44" spans="2:25" hidden="1">
      <c r="B44" s="13" t="s">
        <v>81</v>
      </c>
      <c r="X44" s="27"/>
    </row>
    <row r="45" spans="2:25" hidden="1">
      <c r="B45" s="13" t="s">
        <v>82</v>
      </c>
    </row>
    <row r="46" spans="2:25" hidden="1">
      <c r="B46" s="13" t="s">
        <v>90</v>
      </c>
    </row>
    <row r="47" spans="2:25" hidden="1">
      <c r="B47" s="13" t="s">
        <v>91</v>
      </c>
    </row>
    <row r="48" spans="2:25" hidden="1">
      <c r="B48" s="13" t="s">
        <v>92</v>
      </c>
    </row>
    <row r="49" spans="4:4" hidden="1"/>
    <row r="53" spans="4:4">
      <c r="D53" s="6"/>
    </row>
  </sheetData>
  <mergeCells count="45">
    <mergeCell ref="AK9:AK10"/>
    <mergeCell ref="AK11:AK12"/>
    <mergeCell ref="AH9:AH10"/>
    <mergeCell ref="AH11:AH12"/>
    <mergeCell ref="AI5:AI12"/>
    <mergeCell ref="AH15:AH16"/>
    <mergeCell ref="AH13:AH14"/>
    <mergeCell ref="AI13:AI16"/>
    <mergeCell ref="AG15:AG16"/>
    <mergeCell ref="AD5:AD8"/>
    <mergeCell ref="AE9:AE12"/>
    <mergeCell ref="AD9:AD12"/>
    <mergeCell ref="AE5:AE6"/>
    <mergeCell ref="Z3:AO3"/>
    <mergeCell ref="AL4:AL19"/>
    <mergeCell ref="AM13:AO19"/>
    <mergeCell ref="AF5:AF6"/>
    <mergeCell ref="AG5:AG6"/>
    <mergeCell ref="AH5:AH6"/>
    <mergeCell ref="AK5:AK6"/>
    <mergeCell ref="AF7:AF8"/>
    <mergeCell ref="AG7:AG8"/>
    <mergeCell ref="AH7:AH8"/>
    <mergeCell ref="AK7:AK8"/>
    <mergeCell ref="AF9:AF10"/>
    <mergeCell ref="AF11:AF12"/>
    <mergeCell ref="AK13:AK16"/>
    <mergeCell ref="AE7:AE8"/>
    <mergeCell ref="AF13:AF16"/>
    <mergeCell ref="L2:M2"/>
    <mergeCell ref="H2:I2"/>
    <mergeCell ref="P2:Q2"/>
    <mergeCell ref="B36:F36"/>
    <mergeCell ref="AM8:AO8"/>
    <mergeCell ref="AM4:AO4"/>
    <mergeCell ref="AG9:AG12"/>
    <mergeCell ref="Z17:AC19"/>
    <mergeCell ref="AJ4:AJ19"/>
    <mergeCell ref="AI17:AI19"/>
    <mergeCell ref="AD17:AH17"/>
    <mergeCell ref="AD13:AD14"/>
    <mergeCell ref="AE13:AE14"/>
    <mergeCell ref="AG13:AG14"/>
    <mergeCell ref="AD15:AD16"/>
    <mergeCell ref="AE15:AE16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4647-5C66-4648-BF33-36C9EC4F711F}">
  <sheetPr>
    <tabColor rgb="FF92D050"/>
  </sheetPr>
  <dimension ref="B1:M40"/>
  <sheetViews>
    <sheetView zoomScaleNormal="100" workbookViewId="0">
      <pane xSplit="14" ySplit="20" topLeftCell="O21" activePane="bottomRight" state="frozen"/>
      <selection pane="topRight" activeCell="O1" sqref="O1"/>
      <selection pane="bottomLeft" activeCell="A21" sqref="A21"/>
      <selection pane="bottomRight" activeCell="D7" sqref="D7"/>
    </sheetView>
  </sheetViews>
  <sheetFormatPr baseColWidth="10" defaultRowHeight="16"/>
  <cols>
    <col min="1" max="1" width="8.33203125" style="6" customWidth="1"/>
    <col min="2" max="2" width="41.6640625" style="6" customWidth="1"/>
    <col min="3" max="3" width="12.1640625" style="6" customWidth="1"/>
    <col min="4" max="4" width="8" style="6" customWidth="1"/>
    <col min="5" max="5" width="14.6640625" style="6" bestFit="1" customWidth="1"/>
    <col min="6" max="6" width="10.33203125" style="6" customWidth="1"/>
    <col min="7" max="7" width="5.1640625" style="6" customWidth="1"/>
    <col min="8" max="8" width="15.6640625" style="6" customWidth="1"/>
    <col min="9" max="9" width="19.83203125" style="6" customWidth="1"/>
    <col min="10" max="10" width="5.1640625" style="6" customWidth="1"/>
    <col min="11" max="11" width="5.1640625" style="6" bestFit="1" customWidth="1"/>
    <col min="12" max="12" width="12.5" style="6" customWidth="1"/>
    <col min="13" max="13" width="29.1640625" style="6" customWidth="1"/>
    <col min="14" max="14" width="8.33203125" style="6" customWidth="1"/>
    <col min="15" max="15" width="10.83203125" style="6" customWidth="1"/>
    <col min="16" max="16384" width="10.83203125" style="6"/>
  </cols>
  <sheetData>
    <row r="1" spans="2:13" ht="50" customHeight="1"/>
    <row r="2" spans="2:13" ht="88" customHeight="1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2:13" ht="13" customHeight="1">
      <c r="B3" s="36"/>
      <c r="C3" s="128"/>
      <c r="D3" s="128"/>
      <c r="E3" s="128"/>
      <c r="F3" s="128"/>
      <c r="G3" s="128"/>
      <c r="H3" s="128"/>
      <c r="I3" s="128"/>
      <c r="J3" s="128"/>
      <c r="K3" s="128"/>
      <c r="L3" s="87"/>
      <c r="M3" s="31"/>
    </row>
    <row r="4" spans="2:13" ht="62">
      <c r="B4" s="36"/>
      <c r="C4" s="129" t="s">
        <v>174</v>
      </c>
      <c r="D4" s="129"/>
      <c r="E4" s="129"/>
      <c r="F4" s="129"/>
      <c r="G4" s="129"/>
      <c r="H4" s="129"/>
      <c r="I4" s="129"/>
      <c r="J4" s="129"/>
      <c r="K4" s="129"/>
      <c r="L4" s="74"/>
      <c r="M4" s="31"/>
    </row>
    <row r="5" spans="2:13" s="7" customFormat="1">
      <c r="B5" s="37"/>
      <c r="C5" s="127"/>
      <c r="D5" s="127"/>
      <c r="E5" s="127"/>
      <c r="F5" s="127"/>
      <c r="G5" s="127"/>
      <c r="H5" s="127"/>
      <c r="I5" s="127"/>
      <c r="J5" s="127"/>
      <c r="K5" s="127"/>
      <c r="L5" s="86"/>
      <c r="M5" s="41"/>
    </row>
    <row r="6" spans="2:13" s="7" customFormat="1">
      <c r="B6" s="37"/>
      <c r="C6" s="86"/>
      <c r="D6" s="86"/>
      <c r="E6" s="86"/>
      <c r="F6" s="86"/>
      <c r="G6" s="86"/>
      <c r="H6" s="86"/>
      <c r="I6" s="86"/>
      <c r="J6" s="86"/>
      <c r="K6" s="86"/>
      <c r="L6" s="86"/>
      <c r="M6" s="41"/>
    </row>
    <row r="7" spans="2:13" s="7" customFormat="1">
      <c r="B7" s="37"/>
      <c r="C7" s="12" t="s">
        <v>176</v>
      </c>
      <c r="D7" s="107">
        <v>16</v>
      </c>
      <c r="E7" s="107" t="s">
        <v>163</v>
      </c>
      <c r="F7" s="16" t="s">
        <v>179</v>
      </c>
      <c r="G7" s="16"/>
      <c r="H7" s="40"/>
      <c r="I7" s="40"/>
      <c r="J7" s="40"/>
      <c r="K7" s="40"/>
      <c r="L7" s="40"/>
      <c r="M7" s="41"/>
    </row>
    <row r="8" spans="2:13" s="7" customFormat="1">
      <c r="B8" s="37"/>
      <c r="C8" s="12" t="s">
        <v>126</v>
      </c>
      <c r="D8" s="107">
        <v>12.7</v>
      </c>
      <c r="E8" s="107" t="s">
        <v>197</v>
      </c>
      <c r="F8" s="16" t="s">
        <v>175</v>
      </c>
      <c r="G8" s="16"/>
      <c r="H8" s="40"/>
      <c r="I8" s="40"/>
      <c r="J8" s="40"/>
      <c r="K8" s="40"/>
      <c r="L8" s="40"/>
      <c r="M8" s="41"/>
    </row>
    <row r="9" spans="2:13" s="7" customFormat="1">
      <c r="B9" s="37"/>
      <c r="C9" s="12" t="s">
        <v>177</v>
      </c>
      <c r="D9" s="107">
        <v>1</v>
      </c>
      <c r="E9" s="107" t="s">
        <v>199</v>
      </c>
      <c r="F9" s="16" t="s">
        <v>178</v>
      </c>
      <c r="G9" s="16"/>
      <c r="H9" s="40"/>
      <c r="I9" s="40"/>
      <c r="J9" s="40"/>
      <c r="K9" s="40"/>
      <c r="L9" s="40"/>
      <c r="M9" s="41"/>
    </row>
    <row r="10" spans="2:13" s="7" customFormat="1">
      <c r="B10" s="37"/>
      <c r="C10" s="12" t="s">
        <v>176</v>
      </c>
      <c r="D10" s="76">
        <v>24</v>
      </c>
      <c r="E10" s="83" t="s">
        <v>196</v>
      </c>
      <c r="F10" s="16" t="s">
        <v>180</v>
      </c>
      <c r="G10" s="16"/>
      <c r="H10" s="40"/>
      <c r="I10" s="40"/>
      <c r="J10" s="40"/>
      <c r="K10" s="40"/>
      <c r="L10" s="40"/>
      <c r="M10" s="41"/>
    </row>
    <row r="11" spans="2:13" s="7" customFormat="1">
      <c r="B11" s="37"/>
      <c r="C11" s="12" t="s">
        <v>126</v>
      </c>
      <c r="D11" s="76">
        <v>12.7</v>
      </c>
      <c r="E11" s="83" t="s">
        <v>197</v>
      </c>
      <c r="F11" s="16" t="s">
        <v>181</v>
      </c>
      <c r="G11" s="16"/>
      <c r="J11" s="40"/>
      <c r="K11" s="40"/>
      <c r="L11" s="40"/>
      <c r="M11" s="41"/>
    </row>
    <row r="12" spans="2:13" s="7" customFormat="1">
      <c r="B12" s="37"/>
      <c r="C12" s="12" t="s">
        <v>177</v>
      </c>
      <c r="D12" s="76">
        <v>1</v>
      </c>
      <c r="E12" s="83" t="s">
        <v>199</v>
      </c>
      <c r="F12" s="16" t="s">
        <v>182</v>
      </c>
      <c r="G12" s="16"/>
      <c r="J12" s="40"/>
      <c r="K12" s="40"/>
      <c r="L12" s="40"/>
      <c r="M12" s="41"/>
    </row>
    <row r="13" spans="2:13" s="7" customFormat="1">
      <c r="B13" s="37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2:13" ht="92" customHeight="1">
      <c r="B14" s="36"/>
      <c r="C14" s="131" t="s">
        <v>194</v>
      </c>
      <c r="D14" s="132"/>
      <c r="E14" s="132"/>
      <c r="F14" s="132"/>
      <c r="G14" s="132"/>
      <c r="H14" s="132"/>
      <c r="I14" s="132"/>
      <c r="J14" s="132"/>
      <c r="K14" s="133"/>
      <c r="L14" s="94"/>
      <c r="M14" s="31"/>
    </row>
    <row r="15" spans="2:13" s="7" customFormat="1" ht="28" customHeight="1">
      <c r="B15" s="37"/>
      <c r="C15" s="141" t="s">
        <v>203</v>
      </c>
      <c r="D15" s="143"/>
      <c r="E15" s="183" t="s">
        <v>55</v>
      </c>
      <c r="F15" s="184"/>
      <c r="G15" s="142" t="s">
        <v>204</v>
      </c>
      <c r="H15" s="143"/>
      <c r="I15" s="175" t="s">
        <v>55</v>
      </c>
      <c r="J15" s="176"/>
      <c r="K15" s="10" t="s">
        <v>53</v>
      </c>
      <c r="L15" s="8"/>
      <c r="M15" s="41"/>
    </row>
    <row r="16" spans="2:13" s="7" customFormat="1" ht="24">
      <c r="B16" s="37"/>
      <c r="C16" s="186" t="str">
        <f>IF(C36&gt;1000000,IF(K16=1,TEXT(C36,"0"&amp;REPT("0",(K16-1))&amp;"E+0"),TEXT(C36,"0"&amp;"."&amp;REPT("0",(K16-1))&amp;"E+0")),TEXT(IF(C36&lt;0,"-","")&amp;LEFT(TEXT(ABS(C36),"0."&amp;REPT("0",K16-1)&amp;"E+00"),K16+1)*10^FLOOR(LOG10(TEXT(ABS(C36),"0."&amp;REPT("0",K16-1)&amp;"E+00")),1),(""&amp;(IF(OR(AND(FLOOR(LOG10(TEXT(ABS(C36),"0."&amp;REPT("0",K16-1)&amp;"E+00")),1)+1=K16,RIGHT(LEFT(TEXT(ABS(C36),"0."&amp;REPT("0",K16-1)&amp;"E+00"),K16+1)*10^FLOOR(LOG10(TEXT(ABS(C36),"0."&amp;REPT("0",K16-1)&amp;"E+00")),1),1)="0"),LOG10(TEXT(ABS(C36),"0."&amp;REPT("0",K16-1)&amp;"E+00"))&lt;=K16-1),"0.","#")&amp;REPT("0",IF(K16-1-(FLOOR(LOG10(TEXT(ABS(C36),"0."&amp;REPT("0",K16-1)&amp;"E+00")),1))&gt;0,K16-1-(FLOOR(LOG10(TEXT(ABS(C36),"0."&amp;REPT("0",K16-1)&amp;"E+00")),1)),0))))))</f>
        <v>16.72135</v>
      </c>
      <c r="D16" s="187"/>
      <c r="E16" s="185" t="s">
        <v>195</v>
      </c>
      <c r="F16" s="181"/>
      <c r="G16" s="181" t="str">
        <f>IF(C37&gt;1000000,IF(K16=1,TEXT(C37,"0"&amp;REPT("0",(K16-1))&amp;"E+0"),TEXT(C37,"0"&amp;"."&amp;REPT("0",(K16-1))&amp;"E+0")),TEXT(IF(C37&lt;0,"-","")&amp;LEFT(TEXT(ABS(C37),"0."&amp;REPT("0",K16-1)&amp;"E+00"),K16+1)*10^FLOOR(LOG10(TEXT(ABS(C37),"0."&amp;REPT("0",K16-1)&amp;"E+00")),1),(""&amp;(IF(OR(AND(FLOOR(LOG10(TEXT(ABS(C37),"0."&amp;REPT("0",K16-1)&amp;"E+00")),1)+1=K16,RIGHT(LEFT(TEXT(ABS(C37),"0."&amp;REPT("0",K16-1)&amp;"E+00"),K16+1)*10^FLOOR(LOG10(TEXT(ABS(C37),"0."&amp;REPT("0",K16-1)&amp;"E+00")),1),1)="0"),LOG10(TEXT(ABS(C37),"0."&amp;REPT("0",K16-1)&amp;"E+00"))&lt;=K16-1),"0.","#")&amp;REPT("0",IF(K16-1-(FLOOR(LOG10(TEXT(ABS(C37),"0."&amp;REPT("0",K16-1)&amp;"E+00")),1))&gt;0,K16-1-(FLOOR(LOG10(TEXT(ABS(C37),"0."&amp;REPT("0",K16-1)&amp;"E+00")),1)),0))))))</f>
        <v>24.82867</v>
      </c>
      <c r="H16" s="182"/>
      <c r="I16" s="177" t="s">
        <v>195</v>
      </c>
      <c r="J16" s="178"/>
      <c r="K16" s="5">
        <v>7</v>
      </c>
      <c r="L16" s="75"/>
      <c r="M16" s="43"/>
    </row>
    <row r="17" spans="2:13" s="7" customFormat="1" ht="24">
      <c r="B17" s="37"/>
      <c r="C17" s="134"/>
      <c r="D17" s="134"/>
      <c r="E17" s="134"/>
      <c r="F17" s="134"/>
      <c r="G17" s="134"/>
      <c r="H17" s="134"/>
      <c r="I17" s="134"/>
      <c r="J17" s="134"/>
      <c r="K17" s="134"/>
      <c r="L17" s="85"/>
      <c r="M17" s="44"/>
    </row>
    <row r="18" spans="2:13" s="7" customFormat="1" ht="26" customHeight="1">
      <c r="B18" s="37"/>
      <c r="C18" s="173" t="s">
        <v>205</v>
      </c>
      <c r="D18" s="174"/>
      <c r="E18" s="174"/>
      <c r="F18" s="109">
        <f>C39</f>
        <v>0.48484848484848603</v>
      </c>
      <c r="G18" s="109"/>
      <c r="H18" s="174" t="s">
        <v>206</v>
      </c>
      <c r="I18" s="174"/>
      <c r="J18" s="179">
        <f>C40</f>
        <v>-0.32653061224489849</v>
      </c>
      <c r="K18" s="180"/>
      <c r="L18" s="84"/>
      <c r="M18" s="41"/>
    </row>
    <row r="19" spans="2:13" s="7" customFormat="1" ht="20" customHeight="1">
      <c r="B19" s="45"/>
      <c r="C19" s="46"/>
      <c r="D19" s="46"/>
      <c r="E19" s="46"/>
      <c r="F19" s="46"/>
      <c r="G19" s="46"/>
      <c r="H19" s="35"/>
      <c r="I19" s="35"/>
      <c r="J19" s="47"/>
      <c r="K19" s="46"/>
      <c r="L19" s="46"/>
      <c r="M19" s="48"/>
    </row>
    <row r="20" spans="2:13" ht="50" customHeight="1">
      <c r="C20" s="22"/>
    </row>
    <row r="21" spans="2:1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idden="1">
      <c r="B22" s="12" t="s">
        <v>196</v>
      </c>
    </row>
    <row r="23" spans="2:13" hidden="1">
      <c r="B23" s="12" t="s">
        <v>197</v>
      </c>
    </row>
    <row r="24" spans="2:13" hidden="1">
      <c r="B24" s="12" t="s">
        <v>183</v>
      </c>
    </row>
    <row r="25" spans="2:13" hidden="1">
      <c r="B25" s="12" t="s">
        <v>165</v>
      </c>
    </row>
    <row r="26" spans="2:13" hidden="1">
      <c r="B26" s="12" t="s">
        <v>199</v>
      </c>
    </row>
    <row r="27" spans="2:13" hidden="1">
      <c r="B27" s="12" t="s">
        <v>198</v>
      </c>
    </row>
    <row r="28" spans="2:13" hidden="1">
      <c r="B28" s="12"/>
    </row>
    <row r="29" spans="2:13" hidden="1">
      <c r="B29" s="110" t="s">
        <v>186</v>
      </c>
      <c r="C29" s="6">
        <f>IF(E7=$B$22,D7*(25.4/1000),IF(E7=$B$23,D7/1000,IF(E7=$B$24,D7/100,IF(E7=$B$25,D7,"ERROR"))))/2</f>
        <v>0.20319999999999999</v>
      </c>
    </row>
    <row r="30" spans="2:13" hidden="1">
      <c r="B30" s="110" t="s">
        <v>187</v>
      </c>
      <c r="C30" s="6">
        <f>C29+(IF(E8=$B$22,D8*(25.4/1000),IF(E8=$B$23,D8/1000,IF(E8=$B$24,D8/100,IF(E8=$B$25,D8,"ERROR")))))</f>
        <v>0.21589999999999998</v>
      </c>
    </row>
    <row r="31" spans="2:13" hidden="1">
      <c r="B31" s="110" t="s">
        <v>190</v>
      </c>
      <c r="C31" s="6">
        <f>IF(E9=$B$25,D9,IF(E9=$B$26,D9*1000,IF(E9=$B$27,D9*1609.344,"ERROR")))</f>
        <v>1000</v>
      </c>
    </row>
    <row r="32" spans="2:13" hidden="1">
      <c r="B32" s="110" t="s">
        <v>188</v>
      </c>
      <c r="C32" s="6">
        <f>IF(E10=$B$22,D10*(25.4/1000),IF(E10=$B$23,D10/1000,IF(E10=$B$24,D10/100,IF(E10=$B$25,D10,"ERROR"))))/2</f>
        <v>0.30479999999999996</v>
      </c>
    </row>
    <row r="33" spans="2:3" hidden="1">
      <c r="B33" s="110" t="s">
        <v>189</v>
      </c>
      <c r="C33" s="6">
        <f>C32+(IF(E11=$B$22,D11*(25.4/1000),IF(E11=$B$23,D11/1000,IF(E11=$B$24,D11/100,IF(E11=$B$25,D11,"ERROR")))))</f>
        <v>0.31749999999999995</v>
      </c>
    </row>
    <row r="34" spans="2:3" hidden="1">
      <c r="B34" s="110" t="s">
        <v>191</v>
      </c>
      <c r="C34" s="6">
        <f>IF(E12=$B$25,D12,IF(E12=$B$26,D12*1000,IF(E12=$B$27,D12*1609.344,"ERROR")))</f>
        <v>1000</v>
      </c>
    </row>
    <row r="35" spans="2:3" hidden="1"/>
    <row r="36" spans="2:3" hidden="1">
      <c r="B36" s="12" t="s">
        <v>184</v>
      </c>
      <c r="C36" s="6">
        <f>PI()*(C30^2-C29^2)*C31</f>
        <v>16.721346810217398</v>
      </c>
    </row>
    <row r="37" spans="2:3" hidden="1">
      <c r="B37" s="12" t="s">
        <v>185</v>
      </c>
      <c r="C37" s="6">
        <f>PI()*(C33^2-C32^2)*C34</f>
        <v>24.828666475777368</v>
      </c>
    </row>
    <row r="38" spans="2:3" hidden="1">
      <c r="B38" s="12"/>
    </row>
    <row r="39" spans="2:3" hidden="1">
      <c r="B39" s="12" t="s">
        <v>192</v>
      </c>
      <c r="C39" s="108">
        <f>((C37-C36)/C36)</f>
        <v>0.48484848484848603</v>
      </c>
    </row>
    <row r="40" spans="2:3" hidden="1">
      <c r="B40" s="12" t="s">
        <v>193</v>
      </c>
      <c r="C40" s="108">
        <f>((C36-C37)/C37)</f>
        <v>-0.32653061224489849</v>
      </c>
    </row>
  </sheetData>
  <sheetProtection algorithmName="SHA-512" hashValue="Ozk7tbuRJLafy3cj1e77nqF/PTURAFIT4vntnY/cTpwexsKvY0u4yA/7rruVHNq3yPd+CCAgwZ1Is1/4avF7dw==" saltValue="Uog4AlpTVZRhDL/pMg7h2w==" spinCount="100000" sheet="1" objects="1" scenarios="1"/>
  <mergeCells count="16">
    <mergeCell ref="C14:K14"/>
    <mergeCell ref="C17:K17"/>
    <mergeCell ref="C3:K3"/>
    <mergeCell ref="C4:K4"/>
    <mergeCell ref="C5:K5"/>
    <mergeCell ref="C18:E18"/>
    <mergeCell ref="I15:J15"/>
    <mergeCell ref="I16:J16"/>
    <mergeCell ref="J18:K18"/>
    <mergeCell ref="H18:I18"/>
    <mergeCell ref="G16:H16"/>
    <mergeCell ref="E15:F15"/>
    <mergeCell ref="E16:F16"/>
    <mergeCell ref="C16:D16"/>
    <mergeCell ref="C15:D15"/>
    <mergeCell ref="G15:H15"/>
  </mergeCells>
  <dataValidations count="6">
    <dataValidation type="list" allowBlank="1" showInputMessage="1" showErrorMessage="1" sqref="K16" xr:uid="{E5F56B4C-E228-484A-9D16-DB0678509363}">
      <formula1>"1,2,3,4,5,6,7,8,9"</formula1>
    </dataValidation>
    <dataValidation type="list" allowBlank="1" showInputMessage="1" showErrorMessage="1" sqref="E9 E12" xr:uid="{F617D6E6-C986-6045-9731-891635572DD5}">
      <formula1>$B$25:$B$27</formula1>
    </dataValidation>
    <dataValidation type="list" allowBlank="1" showInputMessage="1" showErrorMessage="1" sqref="E7 E10:E11" xr:uid="{850B0E7F-285A-9448-86B1-8B20307A4BA3}">
      <formula1>$B$22:$B$25</formula1>
    </dataValidation>
    <dataValidation type="list" allowBlank="1" showErrorMessage="1" error="Value Must be between 0.6 and 0.7" promptTitle="aaaa" sqref="E8" xr:uid="{0FA887F6-8904-F14D-80A0-EC7D2C213A32}">
      <formula1>$B$22:$B$25</formula1>
    </dataValidation>
    <dataValidation type="decimal" operator="greaterThan" allowBlank="1" showInputMessage="1" showErrorMessage="1" sqref="D7:D12" xr:uid="{A08BC3C7-4F4D-E940-8305-EB6737A50F25}">
      <formula1>0</formula1>
    </dataValidation>
    <dataValidation errorStyle="warning" operator="greaterThan" allowBlank="1" showInputMessage="1" showErrorMessage="1" errorTitle="ERROR" error="Must be a number" sqref="E16 I16" xr:uid="{1C42C2EA-6B93-0B40-8260-EFB40A9E6B0D}"/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Weymouth</vt:lpstr>
      <vt:lpstr>Energy Convertor</vt:lpstr>
      <vt:lpstr>Conversion Factors</vt:lpstr>
      <vt:lpstr>Pipe Diameter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2020-02-24T10:54:55Z</dcterms:created>
  <dcterms:modified xsi:type="dcterms:W3CDTF">2021-03-11T10:41:03Z</dcterms:modified>
</cp:coreProperties>
</file>